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feef Mahmood\Documents\My Docs\Projects\DFID\Technical Resource Facility\Costing Essential Health Package (Sindh)\Costing\Draft 2_Locked versions\"/>
    </mc:Choice>
  </mc:AlternateContent>
  <workbookProtection workbookAlgorithmName="SHA-512" workbookHashValue="C6G/MQvmhRmngdrXVIPSYvKsCs/DIoJ9xiZ1x6fuyrjkytMSV6NoKIAh9Am2Le707D1ESOVQw6dE3wSC8tU/gA==" workbookSaltValue="Js3UpP71Ha6Ufid/rbi8gQ==" workbookSpinCount="100000" lockStructure="1"/>
  <bookViews>
    <workbookView xWindow="120" yWindow="1245" windowWidth="7635" windowHeight="6600" tabRatio="968"/>
  </bookViews>
  <sheets>
    <sheet name="Title" sheetId="58" r:id="rId1"/>
    <sheet name="BHU_Cost" sheetId="50" state="hidden" r:id="rId2"/>
    <sheet name="Summary_Intervention" sheetId="47" r:id="rId3"/>
    <sheet name="Pricing" sheetId="55" state="hidden" r:id="rId4"/>
    <sheet name="Pricing_2" sheetId="56" state="hidden" r:id="rId5"/>
    <sheet name="Financing" sheetId="57" state="hidden" r:id="rId6"/>
    <sheet name="Sheet2" sheetId="54" state="hidden" r:id="rId7"/>
    <sheet name="Operating_Exp" sheetId="49" r:id="rId8"/>
    <sheet name="1.ANC" sheetId="13" r:id="rId9"/>
    <sheet name="2.Delivery" sheetId="17" state="hidden" r:id="rId10"/>
    <sheet name="Delivery_Assisted" sheetId="18" state="hidden" r:id="rId11"/>
    <sheet name="3.Post_partum" sheetId="19" r:id="rId12"/>
    <sheet name="4.Newborn_care" sheetId="21" state="hidden" r:id="rId13"/>
    <sheet name="5.Child_pneumonia" sheetId="22" r:id="rId14"/>
    <sheet name="6.Child_Wheeze" sheetId="23" r:id="rId15"/>
    <sheet name="7.Child_ear" sheetId="24" r:id="rId16"/>
    <sheet name="8.Child_diarh_nodehy" sheetId="25" r:id="rId17"/>
    <sheet name="9.Child_diarh_some_dehyd" sheetId="26" r:id="rId18"/>
    <sheet name="10.Child_Dys" sheetId="27" r:id="rId19"/>
    <sheet name="11.Immunisation" sheetId="29" r:id="rId20"/>
    <sheet name="11.Child_Fever" sheetId="28" r:id="rId21"/>
    <sheet name="12.FP_condoms" sheetId="30" r:id="rId22"/>
    <sheet name="13.FP_Oral" sheetId="31" r:id="rId23"/>
    <sheet name="14.FP_Inject" sheetId="32" r:id="rId24"/>
    <sheet name="15.FP_IUD" sheetId="33" r:id="rId25"/>
    <sheet name="16.ECM_Cold" sheetId="34" r:id="rId26"/>
    <sheet name="17.ECM_Brn" sheetId="35" r:id="rId27"/>
    <sheet name="18.ECM_Pneu" sheetId="36" state="hidden" r:id="rId28"/>
    <sheet name="19.ECM_GI" sheetId="37" r:id="rId29"/>
    <sheet name="20.ECM_TB_Diag" sheetId="39" state="hidden" r:id="rId30"/>
    <sheet name="21.ECM_TB_treat" sheetId="38" state="hidden" r:id="rId31"/>
    <sheet name="22.ECM_Malaria" sheetId="40" r:id="rId32"/>
    <sheet name="23.ECM_Typhoid" sheetId="41" state="hidden" r:id="rId33"/>
    <sheet name="24.ECM_STIs" sheetId="42" state="hidden" r:id="rId34"/>
    <sheet name="25.ECM_Trachoma" sheetId="43" state="hidden" r:id="rId35"/>
    <sheet name="26.ECM_UTI" sheetId="44" state="hidden" r:id="rId36"/>
    <sheet name="27.Nut_VitA" sheetId="45" state="hidden" r:id="rId37"/>
    <sheet name="28.Nut_MMS" sheetId="61" state="hidden" r:id="rId38"/>
    <sheet name="HR_Intervention" sheetId="4" r:id="rId39"/>
    <sheet name="Standard_temp" sheetId="20" state="hidden" r:id="rId40"/>
    <sheet name="HR_time" sheetId="3" state="hidden" r:id="rId41"/>
    <sheet name="Salary_cost_intervention" sheetId="15" state="hidden" r:id="rId42"/>
    <sheet name="Drugs_list" sheetId="2" r:id="rId43"/>
    <sheet name="Supplies_list" sheetId="5" r:id="rId44"/>
    <sheet name="Lab_tests" sheetId="6" r:id="rId45"/>
    <sheet name="Staff_cost" sheetId="9" r:id="rId46"/>
    <sheet name="Pay_scale" sheetId="8" r:id="rId47"/>
    <sheet name="Sheet1" sheetId="52" state="hidden" r:id="rId48"/>
    <sheet name="Basic_demo" sheetId="60" state="hidden" r:id="rId49"/>
    <sheet name="Equipment" sheetId="51" r:id="rId50"/>
    <sheet name="Capacity" sheetId="53" state="hidden" r:id="rId51"/>
  </sheets>
  <definedNames>
    <definedName name="_xlnm._FilterDatabase" localSheetId="37">Equipment!#REF!</definedName>
    <definedName name="_xlnm._FilterDatabase">Equipment!#REF!</definedName>
    <definedName name="a15pop">Basic_demo!$C$26</definedName>
    <definedName name="aa">BHU_Cost!$C$29</definedName>
    <definedName name="ab">'1.ANC'!$H$16</definedName>
    <definedName name="above15_pop">Basic_demo!$E$26</definedName>
    <definedName name="above5_pop">Basic_demo!$E$25</definedName>
    <definedName name="apop">Basic_demo!$C$25</definedName>
    <definedName name="buffer_stock">Sheet1!$C$1</definedName>
    <definedName name="child23_pop">Basic_demo!$E$21</definedName>
    <definedName name="eco_scale">BHU_Cost!$F$33</definedName>
    <definedName name="epreg">Basic_demo!$C$28</definedName>
    <definedName name="ex_usd">Summary_Intervention!$M$1</definedName>
    <definedName name="fem_pop" localSheetId="37">#REF!</definedName>
    <definedName name="fem_pop">#REF!</definedName>
    <definedName name="female_pop" localSheetId="37">#REF!</definedName>
    <definedName name="female_pop">#REF!</definedName>
    <definedName name="fpop">Basic_demo!$C$15</definedName>
    <definedName name="gpop">Basic_demo!$C$9</definedName>
    <definedName name="HFN" localSheetId="37">#REF!</definedName>
    <definedName name="HFN" localSheetId="48">Basic_demo!$B$4</definedName>
    <definedName name="HFN">#REF!</definedName>
    <definedName name="indirect_sal">Staff_cost!$F$32</definedName>
    <definedName name="lb_pop">Basic_demo!$E$23</definedName>
    <definedName name="male_pop" localSheetId="37">#REF!</definedName>
    <definedName name="male_pop">#REF!</definedName>
    <definedName name="mpop">Basic_demo!$C$14</definedName>
    <definedName name="Mwra" localSheetId="37">#REF!</definedName>
    <definedName name="mwra" localSheetId="48">Basic_demo!$C$18</definedName>
    <definedName name="Mwra">#REF!</definedName>
    <definedName name="mwra_pop">Basic_demo!$E$18</definedName>
    <definedName name="perc_increase">BHU_Cost!$E$33</definedName>
    <definedName name="pop_1">Sheet1!$G$1</definedName>
    <definedName name="pop_2">Sheet1!$K$1</definedName>
    <definedName name="pop_3">Sheet1!$O$1</definedName>
    <definedName name="Pop_4">Sheet1!$S$1</definedName>
    <definedName name="pop_5">Sheet1!#REF!</definedName>
    <definedName name="preg_pop">Basic_demo!$E$28</definedName>
    <definedName name="_xlnm.Print_Area" localSheetId="8">'1.ANC'!$B$1:$H$53</definedName>
    <definedName name="_xlnm.Print_Area" localSheetId="11">'3.Post_partum'!$B$1:$I$53</definedName>
    <definedName name="rhc">'26.ECM_UTI'!$E$6</definedName>
    <definedName name="rhc_pop" localSheetId="37">#REF!</definedName>
    <definedName name="rhc_pop">#REF!</definedName>
    <definedName name="u5_pop">Basic_demo!$E$20</definedName>
    <definedName name="upop">Basic_demo!$C$20</definedName>
    <definedName name="ur" localSheetId="37">#REF!</definedName>
    <definedName name="ur" localSheetId="48">Basic_demo!$B$2</definedName>
    <definedName name="ur">#REF!</definedName>
    <definedName name="wra">Basic_demo!$C$17</definedName>
    <definedName name="wra_pop" localSheetId="37">#REF!</definedName>
    <definedName name="wra_pop">#REF!</definedName>
  </definedNames>
  <calcPr calcId="152511"/>
</workbook>
</file>

<file path=xl/calcChain.xml><?xml version="1.0" encoding="utf-8"?>
<calcChain xmlns="http://schemas.openxmlformats.org/spreadsheetml/2006/main">
  <c r="D13" i="49" l="1"/>
  <c r="Z6" i="4" l="1"/>
  <c r="Z7" i="4"/>
  <c r="Z8" i="4"/>
  <c r="Z9" i="4"/>
  <c r="Z11" i="4"/>
  <c r="Z12" i="4"/>
  <c r="Z13" i="4"/>
  <c r="Z14" i="4"/>
  <c r="Z16" i="4"/>
  <c r="Z17" i="4"/>
  <c r="Z18" i="4"/>
  <c r="Z20" i="4"/>
  <c r="Z22" i="4"/>
  <c r="Z23" i="4"/>
  <c r="Z24" i="4"/>
  <c r="Z25" i="4"/>
  <c r="Z26" i="4"/>
  <c r="Z27" i="4"/>
  <c r="Z28" i="4"/>
  <c r="Z29" i="4"/>
  <c r="Z31" i="4"/>
  <c r="Z32" i="4"/>
  <c r="Z33" i="4"/>
  <c r="Z34" i="4"/>
  <c r="Z35" i="4"/>
  <c r="Z36" i="4"/>
  <c r="Z38" i="4"/>
  <c r="Z40" i="4"/>
  <c r="Z41" i="4"/>
  <c r="Z42" i="4"/>
  <c r="Z43" i="4"/>
  <c r="Z45" i="4"/>
  <c r="Z46" i="4"/>
  <c r="Z47" i="4"/>
  <c r="Z49" i="4"/>
  <c r="Z50" i="4"/>
  <c r="Z51" i="4"/>
  <c r="Z53" i="4"/>
  <c r="Z55" i="4"/>
  <c r="Z57" i="4"/>
  <c r="Z59" i="4"/>
  <c r="Z61" i="4"/>
  <c r="Z63" i="4"/>
  <c r="Z65" i="4"/>
  <c r="Z5" i="4"/>
  <c r="Q6" i="4"/>
  <c r="Q7" i="4"/>
  <c r="Q8" i="4"/>
  <c r="Q9" i="4"/>
  <c r="Q11" i="4"/>
  <c r="Q12" i="4"/>
  <c r="Q13" i="4"/>
  <c r="Q14" i="4"/>
  <c r="Q16" i="4"/>
  <c r="Q17" i="4"/>
  <c r="Q18" i="4"/>
  <c r="Q20" i="4"/>
  <c r="Q22" i="4"/>
  <c r="Q23" i="4"/>
  <c r="Q24" i="4"/>
  <c r="Q25" i="4"/>
  <c r="Q26" i="4"/>
  <c r="Q27" i="4"/>
  <c r="Q28" i="4"/>
  <c r="Q29" i="4"/>
  <c r="Q31" i="4"/>
  <c r="Q32" i="4"/>
  <c r="Q33" i="4"/>
  <c r="Q34" i="4"/>
  <c r="Q35" i="4"/>
  <c r="Q36" i="4"/>
  <c r="Q38" i="4"/>
  <c r="Q40" i="4"/>
  <c r="Q41" i="4"/>
  <c r="Q42" i="4"/>
  <c r="Q43" i="4"/>
  <c r="Q45" i="4"/>
  <c r="Q46" i="4"/>
  <c r="Q47" i="4"/>
  <c r="Q49" i="4"/>
  <c r="Q50" i="4"/>
  <c r="Q51" i="4"/>
  <c r="Q53" i="4"/>
  <c r="Q55" i="4"/>
  <c r="Q57" i="4"/>
  <c r="Q59" i="4"/>
  <c r="Q61" i="4"/>
  <c r="Q63" i="4"/>
  <c r="Q65" i="4"/>
  <c r="Q5" i="4"/>
  <c r="D14" i="49"/>
  <c r="D10" i="49"/>
  <c r="P4" i="51"/>
  <c r="C6" i="49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5" i="8"/>
  <c r="D3" i="53" l="1"/>
  <c r="C11" i="49"/>
  <c r="C28" i="60" l="1"/>
  <c r="B28" i="60"/>
  <c r="C26" i="60"/>
  <c r="B26" i="60"/>
  <c r="C23" i="60"/>
  <c r="B23" i="60"/>
  <c r="B21" i="60"/>
  <c r="C21" i="60" s="1"/>
  <c r="C20" i="60"/>
  <c r="B20" i="60"/>
  <c r="B25" i="60" s="1"/>
  <c r="B15" i="60"/>
  <c r="C15" i="60" s="1"/>
  <c r="C14" i="60"/>
  <c r="B14" i="60"/>
  <c r="B12" i="60"/>
  <c r="B11" i="60"/>
  <c r="C9" i="60"/>
  <c r="C25" i="60" s="1"/>
  <c r="B17" i="60" l="1"/>
  <c r="B18" i="60" l="1"/>
  <c r="C18" i="60" s="1"/>
  <c r="C17" i="60"/>
  <c r="C36" i="9" l="1"/>
  <c r="D36" i="9"/>
  <c r="E36" i="9"/>
  <c r="C37" i="9"/>
  <c r="D37" i="9"/>
  <c r="E37" i="9"/>
  <c r="C38" i="9"/>
  <c r="D38" i="9"/>
  <c r="E38" i="9"/>
  <c r="C39" i="9"/>
  <c r="D39" i="9"/>
  <c r="E39" i="9"/>
  <c r="C40" i="9"/>
  <c r="D40" i="9"/>
  <c r="E40" i="9"/>
  <c r="C41" i="9"/>
  <c r="D41" i="9"/>
  <c r="E41" i="9"/>
  <c r="C42" i="9"/>
  <c r="D42" i="9"/>
  <c r="E42" i="9"/>
  <c r="C43" i="9"/>
  <c r="D43" i="9"/>
  <c r="E43" i="9"/>
  <c r="C44" i="9"/>
  <c r="D44" i="9"/>
  <c r="E44" i="9"/>
  <c r="C45" i="9"/>
  <c r="D45" i="9"/>
  <c r="E45" i="9"/>
  <c r="C46" i="9"/>
  <c r="D46" i="9"/>
  <c r="E46" i="9"/>
  <c r="C47" i="9"/>
  <c r="D47" i="9"/>
  <c r="E47" i="9"/>
  <c r="C48" i="9"/>
  <c r="D48" i="9"/>
  <c r="E48" i="9"/>
  <c r="C49" i="9"/>
  <c r="D49" i="9"/>
  <c r="E49" i="9"/>
  <c r="C50" i="9"/>
  <c r="D50" i="9"/>
  <c r="E50" i="9"/>
  <c r="C51" i="9"/>
  <c r="D51" i="9"/>
  <c r="E51" i="9"/>
  <c r="C52" i="9"/>
  <c r="D52" i="9"/>
  <c r="E52" i="9"/>
  <c r="C53" i="9"/>
  <c r="D53" i="9"/>
  <c r="E53" i="9"/>
  <c r="C54" i="9"/>
  <c r="D54" i="9"/>
  <c r="E54" i="9"/>
  <c r="C55" i="9"/>
  <c r="D55" i="9"/>
  <c r="E55" i="9"/>
  <c r="C56" i="9"/>
  <c r="D56" i="9"/>
  <c r="E56" i="9"/>
  <c r="C57" i="9"/>
  <c r="D57" i="9"/>
  <c r="E57" i="9"/>
  <c r="C58" i="9"/>
  <c r="D58" i="9"/>
  <c r="E58" i="9"/>
  <c r="D35" i="9"/>
  <c r="E35" i="9"/>
  <c r="C35" i="9"/>
  <c r="E3" i="53"/>
  <c r="E4" i="53" s="1"/>
  <c r="I175" i="2" l="1"/>
  <c r="F46" i="61" l="1"/>
  <c r="E46" i="61"/>
  <c r="F45" i="61"/>
  <c r="E45" i="61"/>
  <c r="F44" i="61"/>
  <c r="E44" i="61"/>
  <c r="F43" i="61"/>
  <c r="E43" i="61"/>
  <c r="F42" i="61"/>
  <c r="E42" i="61"/>
  <c r="F41" i="61"/>
  <c r="E41" i="61"/>
  <c r="F40" i="61"/>
  <c r="E40" i="61"/>
  <c r="F39" i="61"/>
  <c r="E39" i="61"/>
  <c r="F38" i="61"/>
  <c r="E38" i="61"/>
  <c r="F37" i="61"/>
  <c r="F47" i="61" s="1"/>
  <c r="E37" i="61"/>
  <c r="F30" i="61"/>
  <c r="E30" i="61"/>
  <c r="F29" i="61"/>
  <c r="E29" i="61"/>
  <c r="F28" i="61"/>
  <c r="E28" i="61"/>
  <c r="F27" i="61"/>
  <c r="E27" i="61"/>
  <c r="F26" i="61"/>
  <c r="E26" i="61"/>
  <c r="F25" i="61"/>
  <c r="E25" i="61"/>
  <c r="F24" i="61"/>
  <c r="E24" i="61"/>
  <c r="F23" i="61"/>
  <c r="E23" i="61"/>
  <c r="F22" i="61"/>
  <c r="E22" i="61"/>
  <c r="F21" i="61"/>
  <c r="E21" i="61"/>
  <c r="K15" i="61"/>
  <c r="G15" i="61"/>
  <c r="I15" i="61" s="1"/>
  <c r="K14" i="61"/>
  <c r="G14" i="61"/>
  <c r="I14" i="61" s="1"/>
  <c r="K13" i="61"/>
  <c r="G13" i="61"/>
  <c r="H13" i="61" s="1"/>
  <c r="K12" i="61"/>
  <c r="I12" i="61"/>
  <c r="H12" i="61"/>
  <c r="G12" i="61"/>
  <c r="K11" i="61"/>
  <c r="G11" i="61"/>
  <c r="I11" i="61" s="1"/>
  <c r="K10" i="61"/>
  <c r="I10" i="61"/>
  <c r="H10" i="61"/>
  <c r="G10" i="61"/>
  <c r="K9" i="61"/>
  <c r="G9" i="61"/>
  <c r="I9" i="61" s="1"/>
  <c r="K8" i="61"/>
  <c r="H8" i="61"/>
  <c r="G8" i="61"/>
  <c r="I8" i="61" s="1"/>
  <c r="K7" i="61"/>
  <c r="G7" i="61"/>
  <c r="H7" i="61" s="1"/>
  <c r="G6" i="61"/>
  <c r="F31" i="61" l="1"/>
  <c r="H14" i="61"/>
  <c r="H11" i="61"/>
  <c r="I13" i="61"/>
  <c r="I7" i="61"/>
  <c r="H9" i="61"/>
  <c r="H15" i="61"/>
  <c r="D4" i="53" l="1"/>
  <c r="C12" i="49" l="1"/>
  <c r="V5" i="49" l="1"/>
  <c r="W5" i="49" s="1"/>
  <c r="X5" i="49" s="1"/>
  <c r="B44" i="60" l="1"/>
  <c r="E25" i="60"/>
  <c r="E21" i="60" l="1"/>
  <c r="E20" i="60"/>
  <c r="E26" i="60"/>
  <c r="B39" i="60"/>
  <c r="B38" i="60"/>
  <c r="B37" i="60"/>
  <c r="B36" i="60"/>
  <c r="E18" i="60"/>
  <c r="E28" i="60" l="1"/>
  <c r="E23" i="60"/>
  <c r="AB58" i="52"/>
  <c r="AC58" i="52" s="1"/>
  <c r="X56" i="52"/>
  <c r="Y56" i="52" s="1"/>
  <c r="AF58" i="52"/>
  <c r="AG58" i="52" s="1"/>
  <c r="AJ58" i="52"/>
  <c r="AK58" i="52" s="1"/>
  <c r="AB56" i="52"/>
  <c r="AC56" i="52" s="1"/>
  <c r="AJ56" i="52"/>
  <c r="AK56" i="52" s="1"/>
  <c r="X58" i="52"/>
  <c r="Y58" i="52" s="1"/>
  <c r="AF56" i="52"/>
  <c r="AG56" i="52" s="1"/>
  <c r="S58" i="52"/>
  <c r="T58" i="52" s="1"/>
  <c r="S56" i="52"/>
  <c r="T56" i="52" s="1"/>
  <c r="O58" i="52"/>
  <c r="P58" i="52" s="1"/>
  <c r="O56" i="52"/>
  <c r="P56" i="52" s="1"/>
  <c r="K58" i="52"/>
  <c r="L58" i="52" s="1"/>
  <c r="K56" i="52"/>
  <c r="L56" i="52" s="1"/>
  <c r="G56" i="52"/>
  <c r="H56" i="52" s="1"/>
  <c r="G58" i="52"/>
  <c r="H58" i="52" s="1"/>
  <c r="G3" i="52"/>
  <c r="G4" i="52"/>
  <c r="H1" i="9"/>
  <c r="V27" i="9"/>
  <c r="V26" i="9"/>
  <c r="V25" i="9"/>
  <c r="V24" i="9"/>
  <c r="V23" i="9"/>
  <c r="G6" i="52" l="1"/>
  <c r="G5" i="52"/>
  <c r="O8" i="51"/>
  <c r="P8" i="51"/>
  <c r="Q8" i="51"/>
  <c r="R8" i="51"/>
  <c r="O13" i="51"/>
  <c r="P13" i="51"/>
  <c r="Q13" i="51"/>
  <c r="R13" i="51"/>
  <c r="O18" i="51"/>
  <c r="P18" i="51"/>
  <c r="Q18" i="51"/>
  <c r="R18" i="51"/>
  <c r="O19" i="51"/>
  <c r="P19" i="51"/>
  <c r="Q19" i="51"/>
  <c r="R19" i="51"/>
  <c r="O23" i="51"/>
  <c r="P23" i="51"/>
  <c r="Q23" i="51"/>
  <c r="R23" i="51"/>
  <c r="O24" i="51"/>
  <c r="P24" i="51"/>
  <c r="Q24" i="51"/>
  <c r="R24" i="51"/>
  <c r="O26" i="51"/>
  <c r="P26" i="51"/>
  <c r="Q26" i="51"/>
  <c r="R26" i="51"/>
  <c r="O33" i="51"/>
  <c r="P33" i="51"/>
  <c r="Q33" i="51"/>
  <c r="R33" i="51"/>
  <c r="O36" i="51"/>
  <c r="P36" i="51"/>
  <c r="Q36" i="51"/>
  <c r="R36" i="51"/>
  <c r="O39" i="51"/>
  <c r="P39" i="51"/>
  <c r="Q39" i="51"/>
  <c r="R39" i="51"/>
  <c r="O41" i="51"/>
  <c r="P41" i="51"/>
  <c r="Q41" i="51"/>
  <c r="R41" i="51"/>
  <c r="O42" i="51"/>
  <c r="P42" i="51"/>
  <c r="Q42" i="51"/>
  <c r="R42" i="51"/>
  <c r="O44" i="51"/>
  <c r="P44" i="51"/>
  <c r="Q44" i="51"/>
  <c r="R44" i="51"/>
  <c r="O46" i="51"/>
  <c r="P46" i="51"/>
  <c r="Q46" i="51"/>
  <c r="R46" i="51"/>
  <c r="O47" i="51"/>
  <c r="P47" i="51"/>
  <c r="Q47" i="51"/>
  <c r="R47" i="51"/>
  <c r="O50" i="51"/>
  <c r="P50" i="51"/>
  <c r="Q50" i="51"/>
  <c r="R50" i="51"/>
  <c r="O51" i="51"/>
  <c r="P51" i="51"/>
  <c r="Q51" i="51"/>
  <c r="R51" i="51"/>
  <c r="O54" i="51"/>
  <c r="P54" i="51"/>
  <c r="Q54" i="51"/>
  <c r="R54" i="51"/>
  <c r="O75" i="51"/>
  <c r="P75" i="51"/>
  <c r="Q75" i="51"/>
  <c r="R75" i="51"/>
  <c r="O76" i="51"/>
  <c r="P76" i="51"/>
  <c r="Q76" i="51"/>
  <c r="R76" i="51"/>
  <c r="O78" i="51"/>
  <c r="P78" i="51"/>
  <c r="Q78" i="51"/>
  <c r="R78" i="51"/>
  <c r="O79" i="51"/>
  <c r="P79" i="51"/>
  <c r="Q79" i="51"/>
  <c r="R79" i="51"/>
  <c r="O81" i="51"/>
  <c r="P81" i="51"/>
  <c r="Q81" i="51"/>
  <c r="R81" i="51"/>
  <c r="O82" i="51"/>
  <c r="P82" i="51"/>
  <c r="Q82" i="51"/>
  <c r="R82" i="51"/>
  <c r="O86" i="51"/>
  <c r="P86" i="51"/>
  <c r="Q86" i="51"/>
  <c r="R86" i="51"/>
  <c r="O87" i="51"/>
  <c r="P87" i="51"/>
  <c r="Q87" i="51"/>
  <c r="R87" i="51"/>
  <c r="O89" i="51"/>
  <c r="P89" i="51"/>
  <c r="Q89" i="51"/>
  <c r="R89" i="51"/>
  <c r="O92" i="51"/>
  <c r="P92" i="51"/>
  <c r="Q92" i="51"/>
  <c r="R92" i="51"/>
  <c r="O99" i="51"/>
  <c r="P99" i="51"/>
  <c r="Q99" i="51"/>
  <c r="R99" i="51"/>
  <c r="O109" i="51"/>
  <c r="P109" i="51"/>
  <c r="Q109" i="51"/>
  <c r="R109" i="51"/>
  <c r="O110" i="51"/>
  <c r="P110" i="51"/>
  <c r="Q110" i="51"/>
  <c r="R110" i="51"/>
  <c r="O111" i="51"/>
  <c r="P111" i="51"/>
  <c r="Q111" i="51"/>
  <c r="R111" i="51"/>
  <c r="O112" i="51"/>
  <c r="P112" i="51"/>
  <c r="Q112" i="51"/>
  <c r="R112" i="51"/>
  <c r="O113" i="51"/>
  <c r="P113" i="51"/>
  <c r="Q113" i="51"/>
  <c r="R113" i="51"/>
  <c r="O123" i="51"/>
  <c r="P123" i="51"/>
  <c r="Q123" i="51"/>
  <c r="R123" i="51"/>
  <c r="O133" i="51"/>
  <c r="P133" i="51"/>
  <c r="Q133" i="51"/>
  <c r="R133" i="51"/>
  <c r="O134" i="51"/>
  <c r="P134" i="51"/>
  <c r="Q134" i="51"/>
  <c r="R134" i="51"/>
  <c r="O142" i="51"/>
  <c r="P142" i="51"/>
  <c r="Q142" i="51"/>
  <c r="R142" i="51"/>
  <c r="O143" i="51"/>
  <c r="P143" i="51"/>
  <c r="Q143" i="51"/>
  <c r="R143" i="51"/>
  <c r="O157" i="51"/>
  <c r="P157" i="51"/>
  <c r="Q157" i="51"/>
  <c r="R157" i="51"/>
  <c r="O163" i="51"/>
  <c r="P163" i="51"/>
  <c r="Q163" i="51"/>
  <c r="R163" i="51"/>
  <c r="O167" i="51"/>
  <c r="P167" i="51"/>
  <c r="Q167" i="51"/>
  <c r="R167" i="51"/>
  <c r="O168" i="51"/>
  <c r="P168" i="51"/>
  <c r="Q168" i="51"/>
  <c r="R168" i="51"/>
  <c r="O169" i="51"/>
  <c r="P169" i="51"/>
  <c r="Q169" i="51"/>
  <c r="R169" i="51"/>
  <c r="O172" i="51"/>
  <c r="P172" i="51"/>
  <c r="Q172" i="51"/>
  <c r="R172" i="51"/>
  <c r="P5" i="51"/>
  <c r="Q5" i="51"/>
  <c r="R5" i="51"/>
  <c r="O5" i="51"/>
  <c r="K6" i="51"/>
  <c r="O6" i="51" s="1"/>
  <c r="L6" i="51"/>
  <c r="P6" i="51" s="1"/>
  <c r="M6" i="51"/>
  <c r="Q6" i="51" s="1"/>
  <c r="N6" i="51"/>
  <c r="R6" i="51" s="1"/>
  <c r="K7" i="51"/>
  <c r="O7" i="51" s="1"/>
  <c r="L7" i="51"/>
  <c r="P7" i="51" s="1"/>
  <c r="M7" i="51"/>
  <c r="Q7" i="51" s="1"/>
  <c r="N7" i="51"/>
  <c r="R7" i="51" s="1"/>
  <c r="K8" i="51"/>
  <c r="L8" i="51"/>
  <c r="M8" i="51"/>
  <c r="N8" i="51"/>
  <c r="K9" i="51"/>
  <c r="O9" i="51" s="1"/>
  <c r="L9" i="51"/>
  <c r="P9" i="51" s="1"/>
  <c r="M9" i="51"/>
  <c r="Q9" i="51" s="1"/>
  <c r="N9" i="51"/>
  <c r="R9" i="51" s="1"/>
  <c r="K10" i="51"/>
  <c r="O10" i="51" s="1"/>
  <c r="L10" i="51"/>
  <c r="P10" i="51" s="1"/>
  <c r="M10" i="51"/>
  <c r="Q10" i="51" s="1"/>
  <c r="N10" i="51"/>
  <c r="R10" i="51" s="1"/>
  <c r="K11" i="51"/>
  <c r="O11" i="51" s="1"/>
  <c r="L11" i="51"/>
  <c r="P11" i="51" s="1"/>
  <c r="M11" i="51"/>
  <c r="Q11" i="51" s="1"/>
  <c r="N11" i="51"/>
  <c r="R11" i="51" s="1"/>
  <c r="K12" i="51"/>
  <c r="O12" i="51" s="1"/>
  <c r="L12" i="51"/>
  <c r="P12" i="51" s="1"/>
  <c r="M12" i="51"/>
  <c r="Q12" i="51" s="1"/>
  <c r="N12" i="51"/>
  <c r="R12" i="51" s="1"/>
  <c r="K13" i="51"/>
  <c r="L13" i="51"/>
  <c r="M13" i="51"/>
  <c r="M188" i="51" s="1"/>
  <c r="N13" i="51"/>
  <c r="N188" i="51" s="1"/>
  <c r="K14" i="51"/>
  <c r="O14" i="51" s="1"/>
  <c r="L14" i="51"/>
  <c r="P14" i="51" s="1"/>
  <c r="M14" i="51"/>
  <c r="Q14" i="51" s="1"/>
  <c r="N14" i="51"/>
  <c r="R14" i="51" s="1"/>
  <c r="K15" i="51"/>
  <c r="O15" i="51" s="1"/>
  <c r="L15" i="51"/>
  <c r="P15" i="51" s="1"/>
  <c r="M15" i="51"/>
  <c r="Q15" i="51" s="1"/>
  <c r="N15" i="51"/>
  <c r="R15" i="51" s="1"/>
  <c r="K16" i="51"/>
  <c r="O16" i="51" s="1"/>
  <c r="L16" i="51"/>
  <c r="P16" i="51" s="1"/>
  <c r="M16" i="51"/>
  <c r="Q16" i="51" s="1"/>
  <c r="N16" i="51"/>
  <c r="R16" i="51" s="1"/>
  <c r="K17" i="51"/>
  <c r="O17" i="51" s="1"/>
  <c r="L17" i="51"/>
  <c r="P17" i="51" s="1"/>
  <c r="M17" i="51"/>
  <c r="Q17" i="51" s="1"/>
  <c r="N17" i="51"/>
  <c r="R17" i="51" s="1"/>
  <c r="K18" i="51"/>
  <c r="L18" i="51"/>
  <c r="M18" i="51"/>
  <c r="N18" i="51"/>
  <c r="K19" i="51"/>
  <c r="L19" i="51"/>
  <c r="M19" i="51"/>
  <c r="N19" i="51"/>
  <c r="K20" i="51"/>
  <c r="O20" i="51" s="1"/>
  <c r="L20" i="51"/>
  <c r="P20" i="51" s="1"/>
  <c r="M20" i="51"/>
  <c r="Q20" i="51" s="1"/>
  <c r="N20" i="51"/>
  <c r="R20" i="51" s="1"/>
  <c r="K21" i="51"/>
  <c r="O21" i="51" s="1"/>
  <c r="L21" i="51"/>
  <c r="P21" i="51" s="1"/>
  <c r="M21" i="51"/>
  <c r="Q21" i="51" s="1"/>
  <c r="N21" i="51"/>
  <c r="R21" i="51" s="1"/>
  <c r="K22" i="51"/>
  <c r="O22" i="51" s="1"/>
  <c r="L22" i="51"/>
  <c r="P22" i="51" s="1"/>
  <c r="M22" i="51"/>
  <c r="Q22" i="51" s="1"/>
  <c r="N22" i="51"/>
  <c r="R22" i="51" s="1"/>
  <c r="K23" i="51"/>
  <c r="L23" i="51"/>
  <c r="M23" i="51"/>
  <c r="N23" i="51"/>
  <c r="K24" i="51"/>
  <c r="L24" i="51"/>
  <c r="M24" i="51"/>
  <c r="N24" i="51"/>
  <c r="K25" i="51"/>
  <c r="O25" i="51" s="1"/>
  <c r="L25" i="51"/>
  <c r="P25" i="51" s="1"/>
  <c r="M25" i="51"/>
  <c r="Q25" i="51" s="1"/>
  <c r="N25" i="51"/>
  <c r="R25" i="51" s="1"/>
  <c r="K26" i="51"/>
  <c r="L26" i="51"/>
  <c r="M26" i="51"/>
  <c r="N26" i="51"/>
  <c r="K27" i="51"/>
  <c r="O27" i="51" s="1"/>
  <c r="L27" i="51"/>
  <c r="P27" i="51" s="1"/>
  <c r="M27" i="51"/>
  <c r="Q27" i="51" s="1"/>
  <c r="N27" i="51"/>
  <c r="R27" i="51" s="1"/>
  <c r="K28" i="51"/>
  <c r="O28" i="51" s="1"/>
  <c r="L28" i="51"/>
  <c r="P28" i="51" s="1"/>
  <c r="M28" i="51"/>
  <c r="Q28" i="51" s="1"/>
  <c r="N28" i="51"/>
  <c r="R28" i="51" s="1"/>
  <c r="K29" i="51"/>
  <c r="O29" i="51" s="1"/>
  <c r="L29" i="51"/>
  <c r="P29" i="51" s="1"/>
  <c r="M29" i="51"/>
  <c r="Q29" i="51" s="1"/>
  <c r="N29" i="51"/>
  <c r="R29" i="51" s="1"/>
  <c r="K30" i="51"/>
  <c r="O30" i="51" s="1"/>
  <c r="L30" i="51"/>
  <c r="P30" i="51" s="1"/>
  <c r="M30" i="51"/>
  <c r="Q30" i="51" s="1"/>
  <c r="N30" i="51"/>
  <c r="R30" i="51" s="1"/>
  <c r="K31" i="51"/>
  <c r="O31" i="51" s="1"/>
  <c r="L31" i="51"/>
  <c r="P31" i="51" s="1"/>
  <c r="M31" i="51"/>
  <c r="Q31" i="51" s="1"/>
  <c r="N31" i="51"/>
  <c r="R31" i="51" s="1"/>
  <c r="K32" i="51"/>
  <c r="O32" i="51" s="1"/>
  <c r="L32" i="51"/>
  <c r="P32" i="51" s="1"/>
  <c r="M32" i="51"/>
  <c r="Q32" i="51" s="1"/>
  <c r="N32" i="51"/>
  <c r="R32" i="51" s="1"/>
  <c r="K33" i="51"/>
  <c r="L33" i="51"/>
  <c r="M33" i="51"/>
  <c r="N33" i="51"/>
  <c r="K34" i="51"/>
  <c r="O34" i="51" s="1"/>
  <c r="L34" i="51"/>
  <c r="P34" i="51" s="1"/>
  <c r="M34" i="51"/>
  <c r="Q34" i="51" s="1"/>
  <c r="N34" i="51"/>
  <c r="R34" i="51" s="1"/>
  <c r="K35" i="51"/>
  <c r="O35" i="51" s="1"/>
  <c r="L35" i="51"/>
  <c r="P35" i="51" s="1"/>
  <c r="M35" i="51"/>
  <c r="Q35" i="51" s="1"/>
  <c r="N35" i="51"/>
  <c r="R35" i="51" s="1"/>
  <c r="K36" i="51"/>
  <c r="L36" i="51"/>
  <c r="M36" i="51"/>
  <c r="N36" i="51"/>
  <c r="K37" i="51"/>
  <c r="O37" i="51" s="1"/>
  <c r="L37" i="51"/>
  <c r="P37" i="51" s="1"/>
  <c r="M37" i="51"/>
  <c r="Q37" i="51" s="1"/>
  <c r="N37" i="51"/>
  <c r="R37" i="51" s="1"/>
  <c r="K38" i="51"/>
  <c r="O38" i="51" s="1"/>
  <c r="L38" i="51"/>
  <c r="P38" i="51" s="1"/>
  <c r="M38" i="51"/>
  <c r="Q38" i="51" s="1"/>
  <c r="N38" i="51"/>
  <c r="R38" i="51" s="1"/>
  <c r="K39" i="51"/>
  <c r="L39" i="51"/>
  <c r="M39" i="51"/>
  <c r="N39" i="51"/>
  <c r="K40" i="51"/>
  <c r="O40" i="51" s="1"/>
  <c r="L40" i="51"/>
  <c r="P40" i="51" s="1"/>
  <c r="M40" i="51"/>
  <c r="Q40" i="51" s="1"/>
  <c r="N40" i="51"/>
  <c r="R40" i="51" s="1"/>
  <c r="K41" i="51"/>
  <c r="L41" i="51"/>
  <c r="M41" i="51"/>
  <c r="N41" i="51"/>
  <c r="K42" i="51"/>
  <c r="K188" i="51" s="1"/>
  <c r="C10" i="49" s="1"/>
  <c r="L42" i="51"/>
  <c r="M42" i="51"/>
  <c r="N42" i="51"/>
  <c r="K43" i="51"/>
  <c r="O43" i="51" s="1"/>
  <c r="L43" i="51"/>
  <c r="P43" i="51" s="1"/>
  <c r="M43" i="51"/>
  <c r="Q43" i="51" s="1"/>
  <c r="N43" i="51"/>
  <c r="R43" i="51" s="1"/>
  <c r="K44" i="51"/>
  <c r="L44" i="51"/>
  <c r="M44" i="51"/>
  <c r="N44" i="51"/>
  <c r="K45" i="51"/>
  <c r="O45" i="51" s="1"/>
  <c r="L45" i="51"/>
  <c r="P45" i="51" s="1"/>
  <c r="M45" i="51"/>
  <c r="Q45" i="51" s="1"/>
  <c r="N45" i="51"/>
  <c r="R45" i="51" s="1"/>
  <c r="K46" i="51"/>
  <c r="L46" i="51"/>
  <c r="M46" i="51"/>
  <c r="N46" i="51"/>
  <c r="K47" i="51"/>
  <c r="L47" i="51"/>
  <c r="M47" i="51"/>
  <c r="N47" i="51"/>
  <c r="K48" i="51"/>
  <c r="O48" i="51" s="1"/>
  <c r="L48" i="51"/>
  <c r="P48" i="51" s="1"/>
  <c r="M48" i="51"/>
  <c r="Q48" i="51" s="1"/>
  <c r="N48" i="51"/>
  <c r="R48" i="51" s="1"/>
  <c r="K49" i="51"/>
  <c r="O49" i="51" s="1"/>
  <c r="L49" i="51"/>
  <c r="P49" i="51" s="1"/>
  <c r="M49" i="51"/>
  <c r="Q49" i="51" s="1"/>
  <c r="N49" i="51"/>
  <c r="R49" i="51" s="1"/>
  <c r="K50" i="51"/>
  <c r="L50" i="51"/>
  <c r="M50" i="51"/>
  <c r="N50" i="51"/>
  <c r="K51" i="51"/>
  <c r="L51" i="51"/>
  <c r="M51" i="51"/>
  <c r="N51" i="51"/>
  <c r="K52" i="51"/>
  <c r="O52" i="51" s="1"/>
  <c r="L52" i="51"/>
  <c r="P52" i="51" s="1"/>
  <c r="M52" i="51"/>
  <c r="Q52" i="51" s="1"/>
  <c r="N52" i="51"/>
  <c r="R52" i="51" s="1"/>
  <c r="K53" i="51"/>
  <c r="O53" i="51" s="1"/>
  <c r="L53" i="51"/>
  <c r="P53" i="51" s="1"/>
  <c r="M53" i="51"/>
  <c r="Q53" i="51" s="1"/>
  <c r="N53" i="51"/>
  <c r="R53" i="51" s="1"/>
  <c r="K54" i="51"/>
  <c r="L54" i="51"/>
  <c r="M54" i="51"/>
  <c r="N54" i="51"/>
  <c r="K55" i="51"/>
  <c r="O55" i="51" s="1"/>
  <c r="L55" i="51"/>
  <c r="P55" i="51" s="1"/>
  <c r="M55" i="51"/>
  <c r="Q55" i="51" s="1"/>
  <c r="N55" i="51"/>
  <c r="R55" i="51" s="1"/>
  <c r="K56" i="51"/>
  <c r="O56" i="51" s="1"/>
  <c r="L56" i="51"/>
  <c r="P56" i="51" s="1"/>
  <c r="M56" i="51"/>
  <c r="Q56" i="51" s="1"/>
  <c r="N56" i="51"/>
  <c r="R56" i="51" s="1"/>
  <c r="K57" i="51"/>
  <c r="O57" i="51" s="1"/>
  <c r="L57" i="51"/>
  <c r="P57" i="51" s="1"/>
  <c r="M57" i="51"/>
  <c r="Q57" i="51" s="1"/>
  <c r="N57" i="51"/>
  <c r="R57" i="51" s="1"/>
  <c r="K58" i="51"/>
  <c r="O58" i="51" s="1"/>
  <c r="L58" i="51"/>
  <c r="P58" i="51" s="1"/>
  <c r="M58" i="51"/>
  <c r="Q58" i="51" s="1"/>
  <c r="N58" i="51"/>
  <c r="R58" i="51" s="1"/>
  <c r="K59" i="51"/>
  <c r="O59" i="51" s="1"/>
  <c r="L59" i="51"/>
  <c r="P59" i="51" s="1"/>
  <c r="M59" i="51"/>
  <c r="Q59" i="51" s="1"/>
  <c r="N59" i="51"/>
  <c r="R59" i="51" s="1"/>
  <c r="K60" i="51"/>
  <c r="O60" i="51" s="1"/>
  <c r="L60" i="51"/>
  <c r="P60" i="51" s="1"/>
  <c r="M60" i="51"/>
  <c r="Q60" i="51" s="1"/>
  <c r="N60" i="51"/>
  <c r="R60" i="51" s="1"/>
  <c r="K61" i="51"/>
  <c r="O61" i="51" s="1"/>
  <c r="L61" i="51"/>
  <c r="P61" i="51" s="1"/>
  <c r="M61" i="51"/>
  <c r="Q61" i="51" s="1"/>
  <c r="N61" i="51"/>
  <c r="R61" i="51" s="1"/>
  <c r="K62" i="51"/>
  <c r="O62" i="51" s="1"/>
  <c r="L62" i="51"/>
  <c r="P62" i="51" s="1"/>
  <c r="M62" i="51"/>
  <c r="Q62" i="51" s="1"/>
  <c r="N62" i="51"/>
  <c r="R62" i="51" s="1"/>
  <c r="K63" i="51"/>
  <c r="O63" i="51" s="1"/>
  <c r="L63" i="51"/>
  <c r="P63" i="51" s="1"/>
  <c r="M63" i="51"/>
  <c r="Q63" i="51" s="1"/>
  <c r="N63" i="51"/>
  <c r="R63" i="51" s="1"/>
  <c r="K64" i="51"/>
  <c r="O64" i="51" s="1"/>
  <c r="L64" i="51"/>
  <c r="P64" i="51" s="1"/>
  <c r="M64" i="51"/>
  <c r="Q64" i="51" s="1"/>
  <c r="N64" i="51"/>
  <c r="R64" i="51" s="1"/>
  <c r="K65" i="51"/>
  <c r="O65" i="51" s="1"/>
  <c r="L65" i="51"/>
  <c r="P65" i="51" s="1"/>
  <c r="M65" i="51"/>
  <c r="Q65" i="51" s="1"/>
  <c r="N65" i="51"/>
  <c r="R65" i="51" s="1"/>
  <c r="K66" i="51"/>
  <c r="O66" i="51" s="1"/>
  <c r="L66" i="51"/>
  <c r="P66" i="51" s="1"/>
  <c r="M66" i="51"/>
  <c r="Q66" i="51" s="1"/>
  <c r="N66" i="51"/>
  <c r="R66" i="51" s="1"/>
  <c r="K67" i="51"/>
  <c r="O67" i="51" s="1"/>
  <c r="L67" i="51"/>
  <c r="P67" i="51" s="1"/>
  <c r="M67" i="51"/>
  <c r="Q67" i="51" s="1"/>
  <c r="N67" i="51"/>
  <c r="R67" i="51" s="1"/>
  <c r="K68" i="51"/>
  <c r="O68" i="51" s="1"/>
  <c r="L68" i="51"/>
  <c r="P68" i="51" s="1"/>
  <c r="M68" i="51"/>
  <c r="Q68" i="51" s="1"/>
  <c r="N68" i="51"/>
  <c r="R68" i="51" s="1"/>
  <c r="K69" i="51"/>
  <c r="O69" i="51" s="1"/>
  <c r="L69" i="51"/>
  <c r="P69" i="51" s="1"/>
  <c r="M69" i="51"/>
  <c r="Q69" i="51" s="1"/>
  <c r="N69" i="51"/>
  <c r="R69" i="51" s="1"/>
  <c r="K70" i="51"/>
  <c r="O70" i="51" s="1"/>
  <c r="L70" i="51"/>
  <c r="P70" i="51" s="1"/>
  <c r="M70" i="51"/>
  <c r="Q70" i="51" s="1"/>
  <c r="N70" i="51"/>
  <c r="R70" i="51" s="1"/>
  <c r="K71" i="51"/>
  <c r="O71" i="51" s="1"/>
  <c r="L71" i="51"/>
  <c r="P71" i="51" s="1"/>
  <c r="M71" i="51"/>
  <c r="Q71" i="51" s="1"/>
  <c r="N71" i="51"/>
  <c r="R71" i="51" s="1"/>
  <c r="K72" i="51"/>
  <c r="O72" i="51" s="1"/>
  <c r="L72" i="51"/>
  <c r="P72" i="51" s="1"/>
  <c r="M72" i="51"/>
  <c r="Q72" i="51" s="1"/>
  <c r="N72" i="51"/>
  <c r="R72" i="51" s="1"/>
  <c r="K73" i="51"/>
  <c r="O73" i="51" s="1"/>
  <c r="L73" i="51"/>
  <c r="P73" i="51" s="1"/>
  <c r="M73" i="51"/>
  <c r="Q73" i="51" s="1"/>
  <c r="N73" i="51"/>
  <c r="R73" i="51" s="1"/>
  <c r="K74" i="51"/>
  <c r="O74" i="51" s="1"/>
  <c r="L74" i="51"/>
  <c r="P74" i="51" s="1"/>
  <c r="M74" i="51"/>
  <c r="Q74" i="51" s="1"/>
  <c r="N74" i="51"/>
  <c r="R74" i="51" s="1"/>
  <c r="K75" i="51"/>
  <c r="L75" i="51"/>
  <c r="M75" i="51"/>
  <c r="N75" i="51"/>
  <c r="K76" i="51"/>
  <c r="L76" i="51"/>
  <c r="M76" i="51"/>
  <c r="N76" i="51"/>
  <c r="K77" i="51"/>
  <c r="O77" i="51" s="1"/>
  <c r="L77" i="51"/>
  <c r="P77" i="51" s="1"/>
  <c r="M77" i="51"/>
  <c r="Q77" i="51" s="1"/>
  <c r="N77" i="51"/>
  <c r="R77" i="51" s="1"/>
  <c r="K78" i="51"/>
  <c r="L78" i="51"/>
  <c r="M78" i="51"/>
  <c r="N78" i="51"/>
  <c r="K79" i="51"/>
  <c r="L79" i="51"/>
  <c r="M79" i="51"/>
  <c r="N79" i="51"/>
  <c r="K80" i="51"/>
  <c r="O80" i="51" s="1"/>
  <c r="L80" i="51"/>
  <c r="P80" i="51" s="1"/>
  <c r="M80" i="51"/>
  <c r="Q80" i="51" s="1"/>
  <c r="N80" i="51"/>
  <c r="R80" i="51" s="1"/>
  <c r="K81" i="51"/>
  <c r="L81" i="51"/>
  <c r="M81" i="51"/>
  <c r="N81" i="51"/>
  <c r="K82" i="51"/>
  <c r="L82" i="51"/>
  <c r="M82" i="51"/>
  <c r="N82" i="51"/>
  <c r="K83" i="51"/>
  <c r="O83" i="51" s="1"/>
  <c r="L83" i="51"/>
  <c r="P83" i="51" s="1"/>
  <c r="M83" i="51"/>
  <c r="Q83" i="51" s="1"/>
  <c r="N83" i="51"/>
  <c r="R83" i="51" s="1"/>
  <c r="K84" i="51"/>
  <c r="O84" i="51" s="1"/>
  <c r="L84" i="51"/>
  <c r="P84" i="51" s="1"/>
  <c r="M84" i="51"/>
  <c r="Q84" i="51" s="1"/>
  <c r="N84" i="51"/>
  <c r="R84" i="51" s="1"/>
  <c r="K85" i="51"/>
  <c r="O85" i="51" s="1"/>
  <c r="L85" i="51"/>
  <c r="P85" i="51" s="1"/>
  <c r="M85" i="51"/>
  <c r="Q85" i="51" s="1"/>
  <c r="N85" i="51"/>
  <c r="R85" i="51" s="1"/>
  <c r="K86" i="51"/>
  <c r="L86" i="51"/>
  <c r="M86" i="51"/>
  <c r="N86" i="51"/>
  <c r="K87" i="51"/>
  <c r="L87" i="51"/>
  <c r="M87" i="51"/>
  <c r="N87" i="51"/>
  <c r="K88" i="51"/>
  <c r="O88" i="51" s="1"/>
  <c r="L88" i="51"/>
  <c r="P88" i="51" s="1"/>
  <c r="M88" i="51"/>
  <c r="Q88" i="51" s="1"/>
  <c r="N88" i="51"/>
  <c r="R88" i="51" s="1"/>
  <c r="K89" i="51"/>
  <c r="L89" i="51"/>
  <c r="M89" i="51"/>
  <c r="N89" i="51"/>
  <c r="K90" i="51"/>
  <c r="O90" i="51" s="1"/>
  <c r="L90" i="51"/>
  <c r="P90" i="51" s="1"/>
  <c r="M90" i="51"/>
  <c r="Q90" i="51" s="1"/>
  <c r="N90" i="51"/>
  <c r="R90" i="51" s="1"/>
  <c r="K91" i="51"/>
  <c r="O91" i="51" s="1"/>
  <c r="L91" i="51"/>
  <c r="P91" i="51" s="1"/>
  <c r="M91" i="51"/>
  <c r="Q91" i="51" s="1"/>
  <c r="N91" i="51"/>
  <c r="R91" i="51" s="1"/>
  <c r="K92" i="51"/>
  <c r="L92" i="51"/>
  <c r="M92" i="51"/>
  <c r="N92" i="51"/>
  <c r="K93" i="51"/>
  <c r="O93" i="51" s="1"/>
  <c r="L93" i="51"/>
  <c r="P93" i="51" s="1"/>
  <c r="M93" i="51"/>
  <c r="Q93" i="51" s="1"/>
  <c r="N93" i="51"/>
  <c r="R93" i="51" s="1"/>
  <c r="K94" i="51"/>
  <c r="O94" i="51" s="1"/>
  <c r="L94" i="51"/>
  <c r="P94" i="51" s="1"/>
  <c r="M94" i="51"/>
  <c r="Q94" i="51" s="1"/>
  <c r="N94" i="51"/>
  <c r="R94" i="51" s="1"/>
  <c r="K95" i="51"/>
  <c r="O95" i="51" s="1"/>
  <c r="L95" i="51"/>
  <c r="P95" i="51" s="1"/>
  <c r="M95" i="51"/>
  <c r="Q95" i="51" s="1"/>
  <c r="N95" i="51"/>
  <c r="R95" i="51" s="1"/>
  <c r="K96" i="51"/>
  <c r="O96" i="51" s="1"/>
  <c r="L96" i="51"/>
  <c r="P96" i="51" s="1"/>
  <c r="M96" i="51"/>
  <c r="Q96" i="51" s="1"/>
  <c r="N96" i="51"/>
  <c r="R96" i="51" s="1"/>
  <c r="K97" i="51"/>
  <c r="O97" i="51" s="1"/>
  <c r="L97" i="51"/>
  <c r="P97" i="51" s="1"/>
  <c r="M97" i="51"/>
  <c r="Q97" i="51" s="1"/>
  <c r="N97" i="51"/>
  <c r="R97" i="51" s="1"/>
  <c r="K98" i="51"/>
  <c r="O98" i="51" s="1"/>
  <c r="L98" i="51"/>
  <c r="P98" i="51" s="1"/>
  <c r="M98" i="51"/>
  <c r="Q98" i="51" s="1"/>
  <c r="N98" i="51"/>
  <c r="R98" i="51" s="1"/>
  <c r="K99" i="51"/>
  <c r="L99" i="51"/>
  <c r="M99" i="51"/>
  <c r="N99" i="51"/>
  <c r="K100" i="51"/>
  <c r="O100" i="51" s="1"/>
  <c r="L100" i="51"/>
  <c r="P100" i="51" s="1"/>
  <c r="M100" i="51"/>
  <c r="Q100" i="51" s="1"/>
  <c r="N100" i="51"/>
  <c r="R100" i="51" s="1"/>
  <c r="K101" i="51"/>
  <c r="O101" i="51" s="1"/>
  <c r="L101" i="51"/>
  <c r="P101" i="51" s="1"/>
  <c r="M101" i="51"/>
  <c r="Q101" i="51" s="1"/>
  <c r="N101" i="51"/>
  <c r="R101" i="51" s="1"/>
  <c r="K102" i="51"/>
  <c r="O102" i="51" s="1"/>
  <c r="L102" i="51"/>
  <c r="P102" i="51" s="1"/>
  <c r="M102" i="51"/>
  <c r="Q102" i="51" s="1"/>
  <c r="N102" i="51"/>
  <c r="R102" i="51" s="1"/>
  <c r="K103" i="51"/>
  <c r="O103" i="51" s="1"/>
  <c r="L103" i="51"/>
  <c r="P103" i="51" s="1"/>
  <c r="M103" i="51"/>
  <c r="Q103" i="51" s="1"/>
  <c r="N103" i="51"/>
  <c r="R103" i="51" s="1"/>
  <c r="K104" i="51"/>
  <c r="O104" i="51" s="1"/>
  <c r="L104" i="51"/>
  <c r="P104" i="51" s="1"/>
  <c r="M104" i="51"/>
  <c r="Q104" i="51" s="1"/>
  <c r="N104" i="51"/>
  <c r="R104" i="51" s="1"/>
  <c r="K105" i="51"/>
  <c r="O105" i="51" s="1"/>
  <c r="L105" i="51"/>
  <c r="P105" i="51" s="1"/>
  <c r="M105" i="51"/>
  <c r="Q105" i="51" s="1"/>
  <c r="N105" i="51"/>
  <c r="R105" i="51" s="1"/>
  <c r="K106" i="51"/>
  <c r="O106" i="51" s="1"/>
  <c r="L106" i="51"/>
  <c r="P106" i="51" s="1"/>
  <c r="M106" i="51"/>
  <c r="Q106" i="51" s="1"/>
  <c r="N106" i="51"/>
  <c r="R106" i="51" s="1"/>
  <c r="K107" i="51"/>
  <c r="O107" i="51" s="1"/>
  <c r="L107" i="51"/>
  <c r="P107" i="51" s="1"/>
  <c r="M107" i="51"/>
  <c r="Q107" i="51" s="1"/>
  <c r="N107" i="51"/>
  <c r="R107" i="51" s="1"/>
  <c r="K108" i="51"/>
  <c r="O108" i="51" s="1"/>
  <c r="L108" i="51"/>
  <c r="P108" i="51" s="1"/>
  <c r="M108" i="51"/>
  <c r="Q108" i="51" s="1"/>
  <c r="N108" i="51"/>
  <c r="R108" i="51" s="1"/>
  <c r="K109" i="51"/>
  <c r="L109" i="51"/>
  <c r="M109" i="51"/>
  <c r="N109" i="51"/>
  <c r="K110" i="51"/>
  <c r="L110" i="51"/>
  <c r="M110" i="51"/>
  <c r="N110" i="51"/>
  <c r="K111" i="51"/>
  <c r="L111" i="51"/>
  <c r="M111" i="51"/>
  <c r="N111" i="51"/>
  <c r="K112" i="51"/>
  <c r="L112" i="51"/>
  <c r="M112" i="51"/>
  <c r="N112" i="51"/>
  <c r="K113" i="51"/>
  <c r="L113" i="51"/>
  <c r="M113" i="51"/>
  <c r="N113" i="51"/>
  <c r="K114" i="51"/>
  <c r="O114" i="51" s="1"/>
  <c r="L114" i="51"/>
  <c r="P114" i="51" s="1"/>
  <c r="M114" i="51"/>
  <c r="Q114" i="51" s="1"/>
  <c r="N114" i="51"/>
  <c r="R114" i="51" s="1"/>
  <c r="K115" i="51"/>
  <c r="O115" i="51" s="1"/>
  <c r="L115" i="51"/>
  <c r="P115" i="51" s="1"/>
  <c r="M115" i="51"/>
  <c r="Q115" i="51" s="1"/>
  <c r="N115" i="51"/>
  <c r="R115" i="51" s="1"/>
  <c r="K116" i="51"/>
  <c r="O116" i="51" s="1"/>
  <c r="L116" i="51"/>
  <c r="P116" i="51" s="1"/>
  <c r="M116" i="51"/>
  <c r="Q116" i="51" s="1"/>
  <c r="N116" i="51"/>
  <c r="R116" i="51" s="1"/>
  <c r="K117" i="51"/>
  <c r="O117" i="51" s="1"/>
  <c r="L117" i="51"/>
  <c r="P117" i="51" s="1"/>
  <c r="M117" i="51"/>
  <c r="Q117" i="51" s="1"/>
  <c r="N117" i="51"/>
  <c r="R117" i="51" s="1"/>
  <c r="K118" i="51"/>
  <c r="O118" i="51" s="1"/>
  <c r="L118" i="51"/>
  <c r="P118" i="51" s="1"/>
  <c r="M118" i="51"/>
  <c r="Q118" i="51" s="1"/>
  <c r="N118" i="51"/>
  <c r="R118" i="51" s="1"/>
  <c r="K119" i="51"/>
  <c r="O119" i="51" s="1"/>
  <c r="L119" i="51"/>
  <c r="P119" i="51" s="1"/>
  <c r="M119" i="51"/>
  <c r="Q119" i="51" s="1"/>
  <c r="N119" i="51"/>
  <c r="R119" i="51" s="1"/>
  <c r="K120" i="51"/>
  <c r="O120" i="51" s="1"/>
  <c r="L120" i="51"/>
  <c r="P120" i="51" s="1"/>
  <c r="M120" i="51"/>
  <c r="Q120" i="51" s="1"/>
  <c r="N120" i="51"/>
  <c r="R120" i="51" s="1"/>
  <c r="K121" i="51"/>
  <c r="O121" i="51" s="1"/>
  <c r="L121" i="51"/>
  <c r="P121" i="51" s="1"/>
  <c r="M121" i="51"/>
  <c r="Q121" i="51" s="1"/>
  <c r="N121" i="51"/>
  <c r="R121" i="51" s="1"/>
  <c r="K122" i="51"/>
  <c r="O122" i="51" s="1"/>
  <c r="L122" i="51"/>
  <c r="P122" i="51" s="1"/>
  <c r="M122" i="51"/>
  <c r="Q122" i="51" s="1"/>
  <c r="N122" i="51"/>
  <c r="R122" i="51" s="1"/>
  <c r="K123" i="51"/>
  <c r="L123" i="51"/>
  <c r="M123" i="51"/>
  <c r="N123" i="51"/>
  <c r="K124" i="51"/>
  <c r="O124" i="51" s="1"/>
  <c r="L124" i="51"/>
  <c r="P124" i="51" s="1"/>
  <c r="M124" i="51"/>
  <c r="Q124" i="51" s="1"/>
  <c r="N124" i="51"/>
  <c r="R124" i="51" s="1"/>
  <c r="K125" i="51"/>
  <c r="O125" i="51" s="1"/>
  <c r="L125" i="51"/>
  <c r="P125" i="51" s="1"/>
  <c r="M125" i="51"/>
  <c r="Q125" i="51" s="1"/>
  <c r="N125" i="51"/>
  <c r="R125" i="51" s="1"/>
  <c r="K126" i="51"/>
  <c r="O126" i="51" s="1"/>
  <c r="L126" i="51"/>
  <c r="P126" i="51" s="1"/>
  <c r="M126" i="51"/>
  <c r="Q126" i="51" s="1"/>
  <c r="N126" i="51"/>
  <c r="R126" i="51" s="1"/>
  <c r="K127" i="51"/>
  <c r="O127" i="51" s="1"/>
  <c r="L127" i="51"/>
  <c r="P127" i="51" s="1"/>
  <c r="M127" i="51"/>
  <c r="Q127" i="51" s="1"/>
  <c r="N127" i="51"/>
  <c r="R127" i="51" s="1"/>
  <c r="K128" i="51"/>
  <c r="O128" i="51" s="1"/>
  <c r="L128" i="51"/>
  <c r="P128" i="51" s="1"/>
  <c r="M128" i="51"/>
  <c r="Q128" i="51" s="1"/>
  <c r="N128" i="51"/>
  <c r="R128" i="51" s="1"/>
  <c r="K129" i="51"/>
  <c r="O129" i="51" s="1"/>
  <c r="L129" i="51"/>
  <c r="P129" i="51" s="1"/>
  <c r="M129" i="51"/>
  <c r="Q129" i="51" s="1"/>
  <c r="N129" i="51"/>
  <c r="R129" i="51" s="1"/>
  <c r="K130" i="51"/>
  <c r="O130" i="51" s="1"/>
  <c r="L130" i="51"/>
  <c r="P130" i="51" s="1"/>
  <c r="M130" i="51"/>
  <c r="Q130" i="51" s="1"/>
  <c r="N130" i="51"/>
  <c r="R130" i="51" s="1"/>
  <c r="K131" i="51"/>
  <c r="O131" i="51" s="1"/>
  <c r="L131" i="51"/>
  <c r="P131" i="51" s="1"/>
  <c r="M131" i="51"/>
  <c r="Q131" i="51" s="1"/>
  <c r="N131" i="51"/>
  <c r="R131" i="51" s="1"/>
  <c r="K132" i="51"/>
  <c r="O132" i="51" s="1"/>
  <c r="L132" i="51"/>
  <c r="P132" i="51" s="1"/>
  <c r="M132" i="51"/>
  <c r="Q132" i="51" s="1"/>
  <c r="N132" i="51"/>
  <c r="R132" i="51" s="1"/>
  <c r="K133" i="51"/>
  <c r="L133" i="51"/>
  <c r="M133" i="51"/>
  <c r="N133" i="51"/>
  <c r="K134" i="51"/>
  <c r="L134" i="51"/>
  <c r="M134" i="51"/>
  <c r="N134" i="51"/>
  <c r="K135" i="51"/>
  <c r="O135" i="51" s="1"/>
  <c r="L135" i="51"/>
  <c r="P135" i="51" s="1"/>
  <c r="M135" i="51"/>
  <c r="Q135" i="51" s="1"/>
  <c r="N135" i="51"/>
  <c r="R135" i="51" s="1"/>
  <c r="K136" i="51"/>
  <c r="O136" i="51" s="1"/>
  <c r="L136" i="51"/>
  <c r="P136" i="51" s="1"/>
  <c r="M136" i="51"/>
  <c r="Q136" i="51" s="1"/>
  <c r="N136" i="51"/>
  <c r="R136" i="51" s="1"/>
  <c r="K137" i="51"/>
  <c r="O137" i="51" s="1"/>
  <c r="L137" i="51"/>
  <c r="P137" i="51" s="1"/>
  <c r="M137" i="51"/>
  <c r="Q137" i="51" s="1"/>
  <c r="N137" i="51"/>
  <c r="R137" i="51" s="1"/>
  <c r="K138" i="51"/>
  <c r="O138" i="51" s="1"/>
  <c r="L138" i="51"/>
  <c r="P138" i="51" s="1"/>
  <c r="M138" i="51"/>
  <c r="Q138" i="51" s="1"/>
  <c r="N138" i="51"/>
  <c r="R138" i="51" s="1"/>
  <c r="K139" i="51"/>
  <c r="O139" i="51" s="1"/>
  <c r="L139" i="51"/>
  <c r="P139" i="51" s="1"/>
  <c r="M139" i="51"/>
  <c r="Q139" i="51" s="1"/>
  <c r="N139" i="51"/>
  <c r="R139" i="51" s="1"/>
  <c r="K140" i="51"/>
  <c r="O140" i="51" s="1"/>
  <c r="L140" i="51"/>
  <c r="P140" i="51" s="1"/>
  <c r="M140" i="51"/>
  <c r="Q140" i="51" s="1"/>
  <c r="N140" i="51"/>
  <c r="R140" i="51" s="1"/>
  <c r="K141" i="51"/>
  <c r="O141" i="51" s="1"/>
  <c r="L141" i="51"/>
  <c r="P141" i="51" s="1"/>
  <c r="M141" i="51"/>
  <c r="Q141" i="51" s="1"/>
  <c r="N141" i="51"/>
  <c r="R141" i="51" s="1"/>
  <c r="K142" i="51"/>
  <c r="L142" i="51"/>
  <c r="M142" i="51"/>
  <c r="N142" i="51"/>
  <c r="K143" i="51"/>
  <c r="L143" i="51"/>
  <c r="M143" i="51"/>
  <c r="N143" i="51"/>
  <c r="K144" i="51"/>
  <c r="O144" i="51" s="1"/>
  <c r="L144" i="51"/>
  <c r="P144" i="51" s="1"/>
  <c r="M144" i="51"/>
  <c r="Q144" i="51" s="1"/>
  <c r="N144" i="51"/>
  <c r="R144" i="51" s="1"/>
  <c r="K145" i="51"/>
  <c r="O145" i="51" s="1"/>
  <c r="L145" i="51"/>
  <c r="P145" i="51" s="1"/>
  <c r="M145" i="51"/>
  <c r="Q145" i="51" s="1"/>
  <c r="N145" i="51"/>
  <c r="R145" i="51" s="1"/>
  <c r="K146" i="51"/>
  <c r="O146" i="51" s="1"/>
  <c r="L146" i="51"/>
  <c r="P146" i="51" s="1"/>
  <c r="M146" i="51"/>
  <c r="Q146" i="51" s="1"/>
  <c r="N146" i="51"/>
  <c r="R146" i="51" s="1"/>
  <c r="K147" i="51"/>
  <c r="O147" i="51" s="1"/>
  <c r="L147" i="51"/>
  <c r="P147" i="51" s="1"/>
  <c r="M147" i="51"/>
  <c r="Q147" i="51" s="1"/>
  <c r="N147" i="51"/>
  <c r="R147" i="51" s="1"/>
  <c r="K148" i="51"/>
  <c r="O148" i="51" s="1"/>
  <c r="L148" i="51"/>
  <c r="P148" i="51" s="1"/>
  <c r="M148" i="51"/>
  <c r="Q148" i="51" s="1"/>
  <c r="N148" i="51"/>
  <c r="R148" i="51" s="1"/>
  <c r="K149" i="51"/>
  <c r="O149" i="51" s="1"/>
  <c r="L149" i="51"/>
  <c r="P149" i="51" s="1"/>
  <c r="M149" i="51"/>
  <c r="Q149" i="51" s="1"/>
  <c r="N149" i="51"/>
  <c r="R149" i="51" s="1"/>
  <c r="K150" i="51"/>
  <c r="O150" i="51" s="1"/>
  <c r="L150" i="51"/>
  <c r="P150" i="51" s="1"/>
  <c r="M150" i="51"/>
  <c r="Q150" i="51" s="1"/>
  <c r="N150" i="51"/>
  <c r="R150" i="51" s="1"/>
  <c r="K151" i="51"/>
  <c r="O151" i="51" s="1"/>
  <c r="L151" i="51"/>
  <c r="P151" i="51" s="1"/>
  <c r="M151" i="51"/>
  <c r="Q151" i="51" s="1"/>
  <c r="N151" i="51"/>
  <c r="R151" i="51" s="1"/>
  <c r="K152" i="51"/>
  <c r="O152" i="51" s="1"/>
  <c r="L152" i="51"/>
  <c r="P152" i="51" s="1"/>
  <c r="M152" i="51"/>
  <c r="Q152" i="51" s="1"/>
  <c r="N152" i="51"/>
  <c r="R152" i="51" s="1"/>
  <c r="K153" i="51"/>
  <c r="O153" i="51" s="1"/>
  <c r="L153" i="51"/>
  <c r="P153" i="51" s="1"/>
  <c r="M153" i="51"/>
  <c r="Q153" i="51" s="1"/>
  <c r="N153" i="51"/>
  <c r="R153" i="51" s="1"/>
  <c r="K154" i="51"/>
  <c r="O154" i="51" s="1"/>
  <c r="L154" i="51"/>
  <c r="P154" i="51" s="1"/>
  <c r="M154" i="51"/>
  <c r="Q154" i="51" s="1"/>
  <c r="N154" i="51"/>
  <c r="R154" i="51" s="1"/>
  <c r="K155" i="51"/>
  <c r="O155" i="51" s="1"/>
  <c r="L155" i="51"/>
  <c r="P155" i="51" s="1"/>
  <c r="M155" i="51"/>
  <c r="Q155" i="51" s="1"/>
  <c r="N155" i="51"/>
  <c r="R155" i="51" s="1"/>
  <c r="K156" i="51"/>
  <c r="O156" i="51" s="1"/>
  <c r="L156" i="51"/>
  <c r="P156" i="51" s="1"/>
  <c r="M156" i="51"/>
  <c r="Q156" i="51" s="1"/>
  <c r="N156" i="51"/>
  <c r="R156" i="51" s="1"/>
  <c r="K157" i="51"/>
  <c r="L157" i="51"/>
  <c r="M157" i="51"/>
  <c r="N157" i="51"/>
  <c r="K158" i="51"/>
  <c r="O158" i="51" s="1"/>
  <c r="L158" i="51"/>
  <c r="P158" i="51" s="1"/>
  <c r="M158" i="51"/>
  <c r="Q158" i="51" s="1"/>
  <c r="N158" i="51"/>
  <c r="R158" i="51" s="1"/>
  <c r="K159" i="51"/>
  <c r="O159" i="51" s="1"/>
  <c r="L159" i="51"/>
  <c r="P159" i="51" s="1"/>
  <c r="M159" i="51"/>
  <c r="Q159" i="51" s="1"/>
  <c r="N159" i="51"/>
  <c r="R159" i="51" s="1"/>
  <c r="K160" i="51"/>
  <c r="O160" i="51" s="1"/>
  <c r="L160" i="51"/>
  <c r="P160" i="51" s="1"/>
  <c r="M160" i="51"/>
  <c r="Q160" i="51" s="1"/>
  <c r="N160" i="51"/>
  <c r="R160" i="51" s="1"/>
  <c r="K161" i="51"/>
  <c r="O161" i="51" s="1"/>
  <c r="L161" i="51"/>
  <c r="P161" i="51" s="1"/>
  <c r="M161" i="51"/>
  <c r="Q161" i="51" s="1"/>
  <c r="N161" i="51"/>
  <c r="R161" i="51" s="1"/>
  <c r="K162" i="51"/>
  <c r="O162" i="51" s="1"/>
  <c r="L162" i="51"/>
  <c r="P162" i="51" s="1"/>
  <c r="M162" i="51"/>
  <c r="Q162" i="51" s="1"/>
  <c r="N162" i="51"/>
  <c r="R162" i="51" s="1"/>
  <c r="K163" i="51"/>
  <c r="L163" i="51"/>
  <c r="M163" i="51"/>
  <c r="N163" i="51"/>
  <c r="K164" i="51"/>
  <c r="O164" i="51" s="1"/>
  <c r="L164" i="51"/>
  <c r="P164" i="51" s="1"/>
  <c r="M164" i="51"/>
  <c r="Q164" i="51" s="1"/>
  <c r="N164" i="51"/>
  <c r="R164" i="51" s="1"/>
  <c r="K165" i="51"/>
  <c r="O165" i="51" s="1"/>
  <c r="L165" i="51"/>
  <c r="P165" i="51" s="1"/>
  <c r="M165" i="51"/>
  <c r="Q165" i="51" s="1"/>
  <c r="N165" i="51"/>
  <c r="R165" i="51" s="1"/>
  <c r="K166" i="51"/>
  <c r="O166" i="51" s="1"/>
  <c r="L166" i="51"/>
  <c r="P166" i="51" s="1"/>
  <c r="M166" i="51"/>
  <c r="Q166" i="51" s="1"/>
  <c r="N166" i="51"/>
  <c r="R166" i="51" s="1"/>
  <c r="K167" i="51"/>
  <c r="L167" i="51"/>
  <c r="M167" i="51"/>
  <c r="N167" i="51"/>
  <c r="K168" i="51"/>
  <c r="L168" i="51"/>
  <c r="M168" i="51"/>
  <c r="N168" i="51"/>
  <c r="K169" i="51"/>
  <c r="L169" i="51"/>
  <c r="M169" i="51"/>
  <c r="N169" i="51"/>
  <c r="K170" i="51"/>
  <c r="O170" i="51" s="1"/>
  <c r="L170" i="51"/>
  <c r="P170" i="51" s="1"/>
  <c r="M170" i="51"/>
  <c r="Q170" i="51" s="1"/>
  <c r="N170" i="51"/>
  <c r="R170" i="51" s="1"/>
  <c r="K171" i="51"/>
  <c r="O171" i="51" s="1"/>
  <c r="L171" i="51"/>
  <c r="P171" i="51" s="1"/>
  <c r="M171" i="51"/>
  <c r="Q171" i="51" s="1"/>
  <c r="N171" i="51"/>
  <c r="R171" i="51" s="1"/>
  <c r="K172" i="51"/>
  <c r="L172" i="51"/>
  <c r="M172" i="51"/>
  <c r="N172" i="51"/>
  <c r="K173" i="51"/>
  <c r="O173" i="51" s="1"/>
  <c r="L173" i="51"/>
  <c r="P173" i="51" s="1"/>
  <c r="M173" i="51"/>
  <c r="Q173" i="51" s="1"/>
  <c r="N173" i="51"/>
  <c r="R173" i="51" s="1"/>
  <c r="K174" i="51"/>
  <c r="O174" i="51" s="1"/>
  <c r="L174" i="51"/>
  <c r="P174" i="51" s="1"/>
  <c r="M174" i="51"/>
  <c r="Q174" i="51" s="1"/>
  <c r="N174" i="51"/>
  <c r="R174" i="51" s="1"/>
  <c r="K175" i="51"/>
  <c r="O175" i="51" s="1"/>
  <c r="L175" i="51"/>
  <c r="P175" i="51" s="1"/>
  <c r="M175" i="51"/>
  <c r="Q175" i="51" s="1"/>
  <c r="N175" i="51"/>
  <c r="R175" i="51" s="1"/>
  <c r="K176" i="51"/>
  <c r="O176" i="51" s="1"/>
  <c r="L176" i="51"/>
  <c r="P176" i="51" s="1"/>
  <c r="M176" i="51"/>
  <c r="Q176" i="51" s="1"/>
  <c r="N176" i="51"/>
  <c r="R176" i="51" s="1"/>
  <c r="K177" i="51"/>
  <c r="O177" i="51" s="1"/>
  <c r="L177" i="51"/>
  <c r="P177" i="51" s="1"/>
  <c r="M177" i="51"/>
  <c r="Q177" i="51" s="1"/>
  <c r="N177" i="51"/>
  <c r="R177" i="51" s="1"/>
  <c r="K178" i="51"/>
  <c r="O178" i="51" s="1"/>
  <c r="L178" i="51"/>
  <c r="P178" i="51" s="1"/>
  <c r="M178" i="51"/>
  <c r="Q178" i="51" s="1"/>
  <c r="N178" i="51"/>
  <c r="R178" i="51" s="1"/>
  <c r="K179" i="51"/>
  <c r="O179" i="51" s="1"/>
  <c r="L179" i="51"/>
  <c r="P179" i="51" s="1"/>
  <c r="M179" i="51"/>
  <c r="Q179" i="51" s="1"/>
  <c r="N179" i="51"/>
  <c r="R179" i="51" s="1"/>
  <c r="K180" i="51"/>
  <c r="O180" i="51" s="1"/>
  <c r="L180" i="51"/>
  <c r="P180" i="51" s="1"/>
  <c r="M180" i="51"/>
  <c r="Q180" i="51" s="1"/>
  <c r="N180" i="51"/>
  <c r="R180" i="51" s="1"/>
  <c r="K181" i="51"/>
  <c r="O181" i="51" s="1"/>
  <c r="L181" i="51"/>
  <c r="P181" i="51" s="1"/>
  <c r="M181" i="51"/>
  <c r="Q181" i="51" s="1"/>
  <c r="N181" i="51"/>
  <c r="R181" i="51" s="1"/>
  <c r="K182" i="51"/>
  <c r="O182" i="51" s="1"/>
  <c r="L182" i="51"/>
  <c r="P182" i="51" s="1"/>
  <c r="M182" i="51"/>
  <c r="Q182" i="51" s="1"/>
  <c r="N182" i="51"/>
  <c r="R182" i="51" s="1"/>
  <c r="K183" i="51"/>
  <c r="O183" i="51" s="1"/>
  <c r="L183" i="51"/>
  <c r="P183" i="51" s="1"/>
  <c r="M183" i="51"/>
  <c r="Q183" i="51" s="1"/>
  <c r="N183" i="51"/>
  <c r="R183" i="51" s="1"/>
  <c r="K184" i="51"/>
  <c r="O184" i="51" s="1"/>
  <c r="L184" i="51"/>
  <c r="P184" i="51" s="1"/>
  <c r="M184" i="51"/>
  <c r="Q184" i="51" s="1"/>
  <c r="N184" i="51"/>
  <c r="R184" i="51" s="1"/>
  <c r="L5" i="51"/>
  <c r="M5" i="51"/>
  <c r="N5" i="51"/>
  <c r="K5" i="51"/>
  <c r="L188" i="51" l="1"/>
  <c r="K189" i="51"/>
  <c r="M189" i="51"/>
  <c r="L189" i="51"/>
  <c r="N189" i="51"/>
  <c r="N187" i="51"/>
  <c r="K187" i="51"/>
  <c r="L187" i="51"/>
  <c r="M187" i="51"/>
  <c r="C13" i="49" l="1"/>
  <c r="I170" i="2"/>
  <c r="C21" i="57" l="1"/>
  <c r="C20" i="57"/>
  <c r="C19" i="57"/>
  <c r="C18" i="57"/>
  <c r="L6" i="57"/>
  <c r="N6" i="57" s="1"/>
  <c r="L7" i="57"/>
  <c r="N7" i="57" s="1"/>
  <c r="L8" i="57"/>
  <c r="N8" i="57" s="1"/>
  <c r="L5" i="57"/>
  <c r="N5" i="57" s="1"/>
  <c r="B19" i="55"/>
  <c r="V4" i="9" l="1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G3" i="56" l="1"/>
  <c r="F3" i="56"/>
  <c r="E3" i="56"/>
  <c r="D3" i="56"/>
  <c r="C3" i="56"/>
  <c r="C3" i="54" l="1"/>
  <c r="S4" i="50" l="1"/>
  <c r="N2" i="49"/>
  <c r="N5" i="49" s="1"/>
  <c r="N6" i="49" s="1"/>
  <c r="N11" i="49" s="1"/>
  <c r="M2" i="49"/>
  <c r="M5" i="49" s="1"/>
  <c r="M6" i="49" s="1"/>
  <c r="M11" i="49" s="1"/>
  <c r="L2" i="49"/>
  <c r="L5" i="49" s="1"/>
  <c r="L6" i="49" s="1"/>
  <c r="L11" i="49" s="1"/>
  <c r="K2" i="49"/>
  <c r="K5" i="49" s="1"/>
  <c r="K6" i="49" s="1"/>
  <c r="K11" i="49" s="1"/>
  <c r="J2" i="49"/>
  <c r="J5" i="49" s="1"/>
  <c r="J6" i="49" s="1"/>
  <c r="B60" i="50"/>
  <c r="B45" i="50"/>
  <c r="D40" i="50"/>
  <c r="E40" i="50"/>
  <c r="F40" i="50"/>
  <c r="C40" i="50"/>
  <c r="F38" i="50"/>
  <c r="E38" i="50"/>
  <c r="D38" i="50"/>
  <c r="C38" i="50"/>
  <c r="B40" i="50"/>
  <c r="AJ54" i="52"/>
  <c r="AF54" i="52"/>
  <c r="AB54" i="52"/>
  <c r="X54" i="52"/>
  <c r="AJ52" i="52"/>
  <c r="AF52" i="52"/>
  <c r="AB52" i="52"/>
  <c r="X52" i="52"/>
  <c r="AJ50" i="52"/>
  <c r="AK50" i="52" s="1"/>
  <c r="AF50" i="52"/>
  <c r="AG50" i="52" s="1"/>
  <c r="AH50" i="52" s="1"/>
  <c r="AB50" i="52"/>
  <c r="AC50" i="52" s="1"/>
  <c r="AD50" i="52" s="1"/>
  <c r="X50" i="52"/>
  <c r="Y50" i="52" s="1"/>
  <c r="Z50" i="52" s="1"/>
  <c r="AJ48" i="52"/>
  <c r="AF48" i="52"/>
  <c r="AB48" i="52"/>
  <c r="X48" i="52"/>
  <c r="AJ46" i="52"/>
  <c r="AF46" i="52"/>
  <c r="AB46" i="52"/>
  <c r="X46" i="52"/>
  <c r="AJ44" i="52"/>
  <c r="AF44" i="52"/>
  <c r="AB44" i="52"/>
  <c r="X44" i="52"/>
  <c r="AJ42" i="52"/>
  <c r="AF42" i="52"/>
  <c r="AB42" i="52"/>
  <c r="X42" i="52"/>
  <c r="AJ40" i="52"/>
  <c r="AF40" i="52"/>
  <c r="AB40" i="52"/>
  <c r="X40" i="52"/>
  <c r="AJ38" i="52"/>
  <c r="AF38" i="52"/>
  <c r="AB38" i="52"/>
  <c r="X38" i="52"/>
  <c r="AJ36" i="52"/>
  <c r="AF36" i="52"/>
  <c r="AB36" i="52"/>
  <c r="X36" i="52"/>
  <c r="AJ34" i="52"/>
  <c r="AF34" i="52"/>
  <c r="AB34" i="52"/>
  <c r="X34" i="52"/>
  <c r="AJ32" i="52"/>
  <c r="AF32" i="52"/>
  <c r="AB32" i="52"/>
  <c r="X32" i="52"/>
  <c r="AJ30" i="52"/>
  <c r="AF30" i="52"/>
  <c r="AB30" i="52"/>
  <c r="X30" i="52"/>
  <c r="AJ28" i="52"/>
  <c r="AF28" i="52"/>
  <c r="AB28" i="52"/>
  <c r="X28" i="52"/>
  <c r="AJ27" i="52"/>
  <c r="AF27" i="52"/>
  <c r="AB27" i="52"/>
  <c r="X27" i="52"/>
  <c r="AJ25" i="52"/>
  <c r="AF25" i="52"/>
  <c r="AB25" i="52"/>
  <c r="X25" i="52"/>
  <c r="AJ24" i="52"/>
  <c r="AF24" i="52"/>
  <c r="AB24" i="52"/>
  <c r="X24" i="52"/>
  <c r="AJ22" i="52"/>
  <c r="AF22" i="52"/>
  <c r="AB22" i="52"/>
  <c r="X22" i="52"/>
  <c r="AJ20" i="52"/>
  <c r="AF20" i="52"/>
  <c r="AB20" i="52"/>
  <c r="X20" i="52"/>
  <c r="AJ19" i="52"/>
  <c r="AF19" i="52"/>
  <c r="AB19" i="52"/>
  <c r="X19" i="52"/>
  <c r="AJ17" i="52"/>
  <c r="AF17" i="52"/>
  <c r="AB17" i="52"/>
  <c r="X17" i="52"/>
  <c r="AJ16" i="52"/>
  <c r="AF16" i="52"/>
  <c r="AB16" i="52"/>
  <c r="X16" i="52"/>
  <c r="AJ15" i="52"/>
  <c r="AF15" i="52"/>
  <c r="AB15" i="52"/>
  <c r="X15" i="52"/>
  <c r="AJ14" i="52"/>
  <c r="AF14" i="52"/>
  <c r="AB14" i="52"/>
  <c r="X14" i="52"/>
  <c r="AJ12" i="52"/>
  <c r="AF12" i="52"/>
  <c r="AB12" i="52"/>
  <c r="X12" i="52"/>
  <c r="AJ10" i="52"/>
  <c r="AF10" i="52"/>
  <c r="AB10" i="52"/>
  <c r="X10" i="52"/>
  <c r="AJ9" i="52"/>
  <c r="AF9" i="52"/>
  <c r="AB9" i="52"/>
  <c r="X9" i="52"/>
  <c r="AJ8" i="52"/>
  <c r="AF8" i="52"/>
  <c r="AB8" i="52"/>
  <c r="X8" i="52"/>
  <c r="AJ6" i="52"/>
  <c r="AF6" i="52"/>
  <c r="AB6" i="52"/>
  <c r="X6" i="52"/>
  <c r="AJ5" i="52"/>
  <c r="AF5" i="52"/>
  <c r="AB5" i="52"/>
  <c r="X5" i="52"/>
  <c r="AJ4" i="52"/>
  <c r="AF4" i="52"/>
  <c r="AB4" i="52"/>
  <c r="X4" i="52"/>
  <c r="AJ3" i="52"/>
  <c r="AF3" i="52"/>
  <c r="AB3" i="52"/>
  <c r="X3" i="52"/>
  <c r="B42" i="50"/>
  <c r="B43" i="50"/>
  <c r="B44" i="50"/>
  <c r="B41" i="50"/>
  <c r="C9" i="53"/>
  <c r="G9" i="53" s="1"/>
  <c r="F29" i="50" s="1"/>
  <c r="C8" i="53"/>
  <c r="G8" i="53" s="1"/>
  <c r="E29" i="50" s="1"/>
  <c r="C7" i="53"/>
  <c r="G7" i="53" s="1"/>
  <c r="D29" i="50" s="1"/>
  <c r="C6" i="53"/>
  <c r="G6" i="53" s="1"/>
  <c r="C29" i="50" s="1"/>
  <c r="F3" i="50"/>
  <c r="E3" i="50"/>
  <c r="D3" i="50"/>
  <c r="C3" i="50"/>
  <c r="S54" i="52"/>
  <c r="S52" i="52"/>
  <c r="S50" i="52"/>
  <c r="T50" i="52" s="1"/>
  <c r="U50" i="52" s="1"/>
  <c r="S48" i="52"/>
  <c r="S46" i="52"/>
  <c r="S44" i="52"/>
  <c r="S42" i="52"/>
  <c r="S20" i="52"/>
  <c r="S22" i="52"/>
  <c r="S24" i="52"/>
  <c r="S25" i="52"/>
  <c r="S27" i="52"/>
  <c r="S28" i="52"/>
  <c r="S30" i="52"/>
  <c r="S32" i="52"/>
  <c r="S34" i="52"/>
  <c r="S36" i="52"/>
  <c r="S38" i="52"/>
  <c r="S40" i="52"/>
  <c r="S19" i="52"/>
  <c r="S15" i="52"/>
  <c r="S16" i="52"/>
  <c r="S17" i="52"/>
  <c r="S14" i="52"/>
  <c r="S12" i="52"/>
  <c r="S10" i="52"/>
  <c r="S9" i="52"/>
  <c r="S8" i="52"/>
  <c r="S6" i="52"/>
  <c r="S5" i="52"/>
  <c r="S4" i="52"/>
  <c r="S3" i="52"/>
  <c r="O54" i="52"/>
  <c r="O52" i="52"/>
  <c r="O50" i="52"/>
  <c r="P50" i="52" s="1"/>
  <c r="Q50" i="52" s="1"/>
  <c r="O48" i="52"/>
  <c r="O46" i="52"/>
  <c r="O44" i="52"/>
  <c r="O42" i="52"/>
  <c r="O40" i="52"/>
  <c r="O38" i="52"/>
  <c r="O36" i="52"/>
  <c r="O34" i="52"/>
  <c r="O32" i="52"/>
  <c r="O30" i="52"/>
  <c r="O28" i="52"/>
  <c r="O27" i="52"/>
  <c r="O25" i="52"/>
  <c r="O24" i="52"/>
  <c r="O22" i="52"/>
  <c r="O20" i="52"/>
  <c r="O19" i="52"/>
  <c r="O15" i="52"/>
  <c r="O16" i="52"/>
  <c r="O17" i="52"/>
  <c r="O14" i="52"/>
  <c r="O12" i="52"/>
  <c r="O10" i="52"/>
  <c r="O9" i="52"/>
  <c r="O8" i="52"/>
  <c r="O6" i="52"/>
  <c r="O5" i="52"/>
  <c r="O4" i="52"/>
  <c r="O3" i="52"/>
  <c r="K54" i="52"/>
  <c r="K52" i="52"/>
  <c r="K50" i="52"/>
  <c r="L50" i="52" s="1"/>
  <c r="M50" i="52" s="1"/>
  <c r="K48" i="52"/>
  <c r="K46" i="52"/>
  <c r="K44" i="52"/>
  <c r="K42" i="52"/>
  <c r="K40" i="52"/>
  <c r="K38" i="52"/>
  <c r="K36" i="52"/>
  <c r="K34" i="52"/>
  <c r="K32" i="52"/>
  <c r="K30" i="52"/>
  <c r="K28" i="52"/>
  <c r="K27" i="52"/>
  <c r="K25" i="52"/>
  <c r="K24" i="52"/>
  <c r="K22" i="52"/>
  <c r="K20" i="52"/>
  <c r="K19" i="52"/>
  <c r="K15" i="52"/>
  <c r="K16" i="52"/>
  <c r="K17" i="52"/>
  <c r="K14" i="52"/>
  <c r="K12" i="52"/>
  <c r="K10" i="52"/>
  <c r="K9" i="52"/>
  <c r="K8" i="52"/>
  <c r="K6" i="52"/>
  <c r="K5" i="52"/>
  <c r="K4" i="52"/>
  <c r="K3" i="52"/>
  <c r="G50" i="52"/>
  <c r="H50" i="52" s="1"/>
  <c r="I50" i="52" s="1"/>
  <c r="G48" i="52"/>
  <c r="G42" i="52"/>
  <c r="G54" i="52"/>
  <c r="G52" i="52"/>
  <c r="G46" i="52"/>
  <c r="G44" i="52"/>
  <c r="G40" i="52"/>
  <c r="G38" i="52"/>
  <c r="G36" i="52"/>
  <c r="G34" i="52"/>
  <c r="G32" i="52"/>
  <c r="G30" i="52"/>
  <c r="G28" i="52"/>
  <c r="G27" i="52"/>
  <c r="G25" i="52"/>
  <c r="G24" i="52"/>
  <c r="G22" i="52"/>
  <c r="G20" i="52"/>
  <c r="G19" i="52"/>
  <c r="G15" i="52"/>
  <c r="G16" i="52"/>
  <c r="G17" i="52"/>
  <c r="G14" i="52"/>
  <c r="G12" i="52"/>
  <c r="H12" i="52" s="1"/>
  <c r="G10" i="52"/>
  <c r="G9" i="52"/>
  <c r="G8" i="52"/>
  <c r="F4" i="53" l="1"/>
  <c r="J11" i="49"/>
  <c r="C15" i="53"/>
  <c r="S5" i="50"/>
  <c r="S6" i="50" s="1"/>
  <c r="S7" i="50" s="1"/>
  <c r="S8" i="50" s="1"/>
  <c r="S9" i="50" s="1"/>
  <c r="S10" i="50" s="1"/>
  <c r="M9" i="49"/>
  <c r="N9" i="49"/>
  <c r="L9" i="49"/>
  <c r="K9" i="49"/>
  <c r="J9" i="49"/>
  <c r="C13" i="53"/>
  <c r="C16" i="53"/>
  <c r="C14" i="53"/>
  <c r="AL50" i="52"/>
  <c r="F33" i="50" l="1"/>
  <c r="K10" i="49"/>
  <c r="L10" i="49"/>
  <c r="N10" i="49"/>
  <c r="J10" i="49"/>
  <c r="M10" i="49"/>
  <c r="C14" i="49" l="1"/>
  <c r="C7" i="13" l="1"/>
  <c r="F8" i="8" l="1"/>
  <c r="G8" i="8" s="1"/>
  <c r="H8" i="8" s="1"/>
  <c r="F16" i="8"/>
  <c r="G16" i="8" s="1"/>
  <c r="H16" i="8" s="1"/>
  <c r="F5" i="8"/>
  <c r="G5" i="8" s="1"/>
  <c r="H5" i="8" s="1"/>
  <c r="F9" i="8"/>
  <c r="F10" i="8"/>
  <c r="F11" i="8"/>
  <c r="F17" i="8"/>
  <c r="F18" i="8"/>
  <c r="F21" i="8"/>
  <c r="F56" i="9" l="1"/>
  <c r="G56" i="9" s="1"/>
  <c r="X25" i="9"/>
  <c r="W25" i="9"/>
  <c r="G11" i="8"/>
  <c r="H11" i="8" s="1"/>
  <c r="F23" i="8"/>
  <c r="G23" i="8" s="1"/>
  <c r="H23" i="8" s="1"/>
  <c r="F15" i="8"/>
  <c r="G15" i="8" s="1"/>
  <c r="H15" i="8" s="1"/>
  <c r="F7" i="8"/>
  <c r="G7" i="8" s="1"/>
  <c r="H7" i="8" s="1"/>
  <c r="G18" i="8"/>
  <c r="H18" i="8" s="1"/>
  <c r="G10" i="8"/>
  <c r="H10" i="8" s="1"/>
  <c r="F22" i="8"/>
  <c r="G22" i="8" s="1"/>
  <c r="H22" i="8" s="1"/>
  <c r="F14" i="8"/>
  <c r="G14" i="8" s="1"/>
  <c r="H14" i="8" s="1"/>
  <c r="F6" i="8"/>
  <c r="G6" i="8" s="1"/>
  <c r="H6" i="8" s="1"/>
  <c r="F23" i="9" s="1"/>
  <c r="G23" i="9" s="1"/>
  <c r="H23" i="9" s="1"/>
  <c r="I23" i="9" s="1"/>
  <c r="G17" i="8"/>
  <c r="H17" i="8" s="1"/>
  <c r="G9" i="8"/>
  <c r="H9" i="8" s="1"/>
  <c r="F20" i="8"/>
  <c r="G20" i="8" s="1"/>
  <c r="H20" i="8" s="1"/>
  <c r="F12" i="8"/>
  <c r="G12" i="8" s="1"/>
  <c r="H12" i="8" s="1"/>
  <c r="F19" i="8"/>
  <c r="G19" i="8" s="1"/>
  <c r="H19" i="8" s="1"/>
  <c r="F13" i="8"/>
  <c r="G13" i="8" s="1"/>
  <c r="H13" i="8" s="1"/>
  <c r="G21" i="8"/>
  <c r="H21" i="8" s="1"/>
  <c r="F4" i="9" s="1"/>
  <c r="D8" i="49"/>
  <c r="D7" i="49"/>
  <c r="D9" i="49"/>
  <c r="D6" i="49"/>
  <c r="D11" i="49"/>
  <c r="Z5" i="49"/>
  <c r="C5" i="49" s="1"/>
  <c r="D5" i="49" s="1"/>
  <c r="X27" i="9" l="1"/>
  <c r="F58" i="9"/>
  <c r="G58" i="9" s="1"/>
  <c r="W27" i="9"/>
  <c r="F55" i="9"/>
  <c r="G55" i="9" s="1"/>
  <c r="X24" i="9"/>
  <c r="W24" i="9"/>
  <c r="F54" i="9"/>
  <c r="G54" i="9" s="1"/>
  <c r="W23" i="9"/>
  <c r="X23" i="9"/>
  <c r="F35" i="9"/>
  <c r="W4" i="9"/>
  <c r="X26" i="9"/>
  <c r="F57" i="9"/>
  <c r="G57" i="9" s="1"/>
  <c r="W26" i="9"/>
  <c r="F5" i="55"/>
  <c r="C15" i="49"/>
  <c r="G35" i="9" l="1"/>
  <c r="D15" i="49"/>
  <c r="C5" i="55"/>
  <c r="C6" i="57" s="1"/>
  <c r="G6" i="57" s="1"/>
  <c r="G5" i="55"/>
  <c r="D5" i="55"/>
  <c r="E5" i="55"/>
  <c r="O6" i="4"/>
  <c r="O7" i="4"/>
  <c r="O8" i="4"/>
  <c r="O9" i="4"/>
  <c r="O11" i="4"/>
  <c r="O12" i="4"/>
  <c r="O13" i="4"/>
  <c r="O14" i="4"/>
  <c r="O16" i="4"/>
  <c r="O17" i="4"/>
  <c r="O18" i="4"/>
  <c r="O20" i="4"/>
  <c r="O22" i="4"/>
  <c r="O23" i="4"/>
  <c r="O24" i="4"/>
  <c r="O25" i="4"/>
  <c r="O26" i="4"/>
  <c r="O27" i="4"/>
  <c r="O28" i="4"/>
  <c r="O29" i="4"/>
  <c r="O31" i="4"/>
  <c r="O32" i="4"/>
  <c r="O33" i="4"/>
  <c r="O34" i="4"/>
  <c r="O35" i="4"/>
  <c r="O36" i="4"/>
  <c r="O38" i="4"/>
  <c r="O40" i="4"/>
  <c r="O41" i="4"/>
  <c r="O42" i="4"/>
  <c r="O43" i="4"/>
  <c r="O45" i="4"/>
  <c r="O46" i="4"/>
  <c r="O47" i="4"/>
  <c r="O49" i="4"/>
  <c r="O50" i="4"/>
  <c r="O51" i="4"/>
  <c r="O53" i="4"/>
  <c r="O55" i="4"/>
  <c r="O57" i="4"/>
  <c r="O59" i="4"/>
  <c r="O61" i="4"/>
  <c r="O63" i="4"/>
  <c r="O65" i="4"/>
  <c r="O5" i="4"/>
  <c r="C52" i="30"/>
  <c r="C52" i="29"/>
  <c r="AB38" i="4"/>
  <c r="N35" i="4"/>
  <c r="N31" i="4"/>
  <c r="N33" i="4"/>
  <c r="AB36" i="4"/>
  <c r="AB35" i="4"/>
  <c r="AB6" i="4"/>
  <c r="AB7" i="4"/>
  <c r="AB8" i="4"/>
  <c r="AB9" i="4"/>
  <c r="AB11" i="4"/>
  <c r="AB12" i="4"/>
  <c r="AB13" i="4"/>
  <c r="AB14" i="4"/>
  <c r="AB16" i="4"/>
  <c r="AB17" i="4"/>
  <c r="AB18" i="4"/>
  <c r="AB20" i="4"/>
  <c r="AB22" i="4"/>
  <c r="AB23" i="4"/>
  <c r="AB24" i="4"/>
  <c r="AB25" i="4"/>
  <c r="AB26" i="4"/>
  <c r="AB27" i="4"/>
  <c r="AB28" i="4"/>
  <c r="AB29" i="4"/>
  <c r="AB31" i="4"/>
  <c r="AB32" i="4"/>
  <c r="AB33" i="4"/>
  <c r="AB34" i="4"/>
  <c r="AB40" i="4"/>
  <c r="AB41" i="4"/>
  <c r="AB42" i="4"/>
  <c r="AB43" i="4"/>
  <c r="AB45" i="4"/>
  <c r="AB46" i="4"/>
  <c r="AB47" i="4"/>
  <c r="AB49" i="4"/>
  <c r="AB50" i="4"/>
  <c r="AB51" i="4"/>
  <c r="AB53" i="4"/>
  <c r="AB55" i="4"/>
  <c r="AB57" i="4"/>
  <c r="AB59" i="4"/>
  <c r="AB61" i="4"/>
  <c r="AB63" i="4"/>
  <c r="AB65" i="4"/>
  <c r="AB5" i="4"/>
  <c r="O66" i="4" l="1"/>
  <c r="E6" i="57"/>
  <c r="D19" i="49"/>
  <c r="K6" i="57"/>
  <c r="I6" i="57"/>
  <c r="F46" i="45"/>
  <c r="E46" i="45"/>
  <c r="F45" i="45"/>
  <c r="E45" i="45"/>
  <c r="F44" i="45"/>
  <c r="E44" i="45"/>
  <c r="F43" i="45"/>
  <c r="E43" i="45"/>
  <c r="F42" i="45"/>
  <c r="E42" i="45"/>
  <c r="F41" i="45"/>
  <c r="E41" i="45"/>
  <c r="F40" i="45"/>
  <c r="E40" i="45"/>
  <c r="F39" i="45"/>
  <c r="E39" i="45"/>
  <c r="F38" i="45"/>
  <c r="E38" i="45"/>
  <c r="E37" i="45"/>
  <c r="F37" i="45" s="1"/>
  <c r="F30" i="45"/>
  <c r="E30" i="45"/>
  <c r="F29" i="45"/>
  <c r="E29" i="45"/>
  <c r="F28" i="45"/>
  <c r="E28" i="45"/>
  <c r="F27" i="45"/>
  <c r="E27" i="45"/>
  <c r="F26" i="45"/>
  <c r="E26" i="45"/>
  <c r="F25" i="45"/>
  <c r="E25" i="45"/>
  <c r="F24" i="45"/>
  <c r="E24" i="45"/>
  <c r="F23" i="45"/>
  <c r="E23" i="45"/>
  <c r="F22" i="45"/>
  <c r="E22" i="45"/>
  <c r="F21" i="45"/>
  <c r="E21" i="45"/>
  <c r="K15" i="45"/>
  <c r="G15" i="45"/>
  <c r="I15" i="45" s="1"/>
  <c r="K14" i="45"/>
  <c r="I14" i="45"/>
  <c r="G14" i="45"/>
  <c r="H14" i="45" s="1"/>
  <c r="K13" i="45"/>
  <c r="G13" i="45"/>
  <c r="I13" i="45" s="1"/>
  <c r="K12" i="45"/>
  <c r="I12" i="45"/>
  <c r="G12" i="45"/>
  <c r="H12" i="45" s="1"/>
  <c r="K11" i="45"/>
  <c r="G11" i="45"/>
  <c r="I11" i="45" s="1"/>
  <c r="K10" i="45"/>
  <c r="G10" i="45"/>
  <c r="H10" i="45" s="1"/>
  <c r="K9" i="45"/>
  <c r="G9" i="45"/>
  <c r="I9" i="45" s="1"/>
  <c r="K8" i="45"/>
  <c r="I8" i="45"/>
  <c r="G8" i="45"/>
  <c r="H8" i="45" s="1"/>
  <c r="K7" i="45"/>
  <c r="G7" i="45"/>
  <c r="G6" i="45"/>
  <c r="F46" i="44"/>
  <c r="E46" i="44"/>
  <c r="F45" i="44"/>
  <c r="E45" i="44"/>
  <c r="F44" i="44"/>
  <c r="E44" i="44"/>
  <c r="F43" i="44"/>
  <c r="E43" i="44"/>
  <c r="F42" i="44"/>
  <c r="E42" i="44"/>
  <c r="F41" i="44"/>
  <c r="E41" i="44"/>
  <c r="F40" i="44"/>
  <c r="E40" i="44"/>
  <c r="F39" i="44"/>
  <c r="E39" i="44"/>
  <c r="F38" i="44"/>
  <c r="E38" i="44"/>
  <c r="F30" i="44"/>
  <c r="E30" i="44"/>
  <c r="F29" i="44"/>
  <c r="E29" i="44"/>
  <c r="F28" i="44"/>
  <c r="E28" i="44"/>
  <c r="F27" i="44"/>
  <c r="E27" i="44"/>
  <c r="F26" i="44"/>
  <c r="E26" i="44"/>
  <c r="F25" i="44"/>
  <c r="E25" i="44"/>
  <c r="F24" i="44"/>
  <c r="E24" i="44"/>
  <c r="F23" i="44"/>
  <c r="E23" i="44"/>
  <c r="F22" i="44"/>
  <c r="E22" i="44"/>
  <c r="K15" i="44"/>
  <c r="G15" i="44"/>
  <c r="I15" i="44" s="1"/>
  <c r="K14" i="44"/>
  <c r="G14" i="44"/>
  <c r="I14" i="44" s="1"/>
  <c r="K13" i="44"/>
  <c r="G13" i="44"/>
  <c r="I13" i="44" s="1"/>
  <c r="K12" i="44"/>
  <c r="G12" i="44"/>
  <c r="I12" i="44" s="1"/>
  <c r="K11" i="44"/>
  <c r="G11" i="44"/>
  <c r="I11" i="44" s="1"/>
  <c r="K10" i="44"/>
  <c r="G10" i="44"/>
  <c r="I10" i="44" s="1"/>
  <c r="K9" i="44"/>
  <c r="G9" i="44"/>
  <c r="I9" i="44" s="1"/>
  <c r="K8" i="44"/>
  <c r="G8" i="44"/>
  <c r="I8" i="44" s="1"/>
  <c r="G7" i="44"/>
  <c r="G6" i="44"/>
  <c r="G161" i="2"/>
  <c r="F46" i="43"/>
  <c r="E46" i="43"/>
  <c r="F45" i="43"/>
  <c r="E45" i="43"/>
  <c r="F44" i="43"/>
  <c r="E44" i="43"/>
  <c r="F43" i="43"/>
  <c r="E43" i="43"/>
  <c r="F42" i="43"/>
  <c r="E42" i="43"/>
  <c r="F41" i="43"/>
  <c r="E41" i="43"/>
  <c r="F40" i="43"/>
  <c r="E40" i="43"/>
  <c r="F39" i="43"/>
  <c r="E39" i="43"/>
  <c r="F38" i="43"/>
  <c r="E38" i="43"/>
  <c r="F37" i="43"/>
  <c r="E37" i="43"/>
  <c r="F30" i="43"/>
  <c r="E30" i="43"/>
  <c r="F29" i="43"/>
  <c r="E29" i="43"/>
  <c r="F28" i="43"/>
  <c r="E28" i="43"/>
  <c r="F27" i="43"/>
  <c r="E27" i="43"/>
  <c r="F26" i="43"/>
  <c r="E26" i="43"/>
  <c r="F25" i="43"/>
  <c r="E25" i="43"/>
  <c r="E24" i="43"/>
  <c r="F24" i="43" s="1"/>
  <c r="F23" i="43"/>
  <c r="E23" i="43"/>
  <c r="F22" i="43"/>
  <c r="E22" i="43"/>
  <c r="E21" i="43"/>
  <c r="F21" i="43" s="1"/>
  <c r="K15" i="43"/>
  <c r="I15" i="43"/>
  <c r="G15" i="43"/>
  <c r="H15" i="43" s="1"/>
  <c r="K14" i="43"/>
  <c r="G14" i="43"/>
  <c r="H14" i="43" s="1"/>
  <c r="K13" i="43"/>
  <c r="G13" i="43"/>
  <c r="I13" i="43" s="1"/>
  <c r="K12" i="43"/>
  <c r="G12" i="43"/>
  <c r="I12" i="43" s="1"/>
  <c r="K11" i="43"/>
  <c r="G11" i="43"/>
  <c r="H11" i="43" s="1"/>
  <c r="K10" i="43"/>
  <c r="H10" i="43"/>
  <c r="G10" i="43"/>
  <c r="I10" i="43" s="1"/>
  <c r="K9" i="43"/>
  <c r="G9" i="43"/>
  <c r="G8" i="43"/>
  <c r="G7" i="43"/>
  <c r="G6" i="43"/>
  <c r="I176" i="2"/>
  <c r="H13" i="43" l="1"/>
  <c r="I10" i="45"/>
  <c r="M6" i="57"/>
  <c r="J7" i="49"/>
  <c r="K7" i="49"/>
  <c r="F44" i="50"/>
  <c r="M7" i="49"/>
  <c r="C44" i="50"/>
  <c r="D44" i="50"/>
  <c r="E44" i="50"/>
  <c r="N7" i="49"/>
  <c r="G6" i="56" s="1"/>
  <c r="L7" i="49"/>
  <c r="F47" i="45"/>
  <c r="F31" i="45"/>
  <c r="F47" i="43"/>
  <c r="C52" i="43" s="1"/>
  <c r="H7" i="45"/>
  <c r="I7" i="45" s="1"/>
  <c r="H9" i="45"/>
  <c r="H11" i="45"/>
  <c r="H13" i="45"/>
  <c r="H15" i="45"/>
  <c r="H13" i="44"/>
  <c r="H9" i="44"/>
  <c r="H15" i="44"/>
  <c r="H8" i="44"/>
  <c r="H10" i="44"/>
  <c r="H12" i="44"/>
  <c r="H14" i="44"/>
  <c r="H11" i="44"/>
  <c r="H9" i="43"/>
  <c r="I9" i="43" s="1"/>
  <c r="I11" i="43"/>
  <c r="H12" i="43"/>
  <c r="F31" i="43"/>
  <c r="C51" i="43" s="1"/>
  <c r="I14" i="43"/>
  <c r="D9" i="50" l="1"/>
  <c r="D6" i="56" s="1"/>
  <c r="F9" i="50"/>
  <c r="F6" i="56" s="1"/>
  <c r="E9" i="50"/>
  <c r="E6" i="56" s="1"/>
  <c r="C9" i="50"/>
  <c r="C6" i="56" s="1"/>
  <c r="F46" i="42"/>
  <c r="E46" i="42"/>
  <c r="F45" i="42"/>
  <c r="E45" i="42"/>
  <c r="F44" i="42"/>
  <c r="E44" i="42"/>
  <c r="F43" i="42"/>
  <c r="E43" i="42"/>
  <c r="F42" i="42"/>
  <c r="E42" i="42"/>
  <c r="F41" i="42"/>
  <c r="E41" i="42"/>
  <c r="F40" i="42"/>
  <c r="E40" i="42"/>
  <c r="F39" i="42"/>
  <c r="E39" i="42"/>
  <c r="E38" i="42"/>
  <c r="F38" i="42" s="1"/>
  <c r="F30" i="42"/>
  <c r="E30" i="42"/>
  <c r="F29" i="42"/>
  <c r="E29" i="42"/>
  <c r="F28" i="42"/>
  <c r="E28" i="42"/>
  <c r="F27" i="42"/>
  <c r="E27" i="42"/>
  <c r="F26" i="42"/>
  <c r="E26" i="42"/>
  <c r="F25" i="42"/>
  <c r="E25" i="42"/>
  <c r="K15" i="42"/>
  <c r="G15" i="42"/>
  <c r="H15" i="42" s="1"/>
  <c r="K14" i="42"/>
  <c r="G14" i="42"/>
  <c r="I14" i="42" s="1"/>
  <c r="K13" i="42"/>
  <c r="G13" i="42"/>
  <c r="H13" i="42" s="1"/>
  <c r="G12" i="42"/>
  <c r="G11" i="42"/>
  <c r="G10" i="42"/>
  <c r="G9" i="42"/>
  <c r="G8" i="42"/>
  <c r="G7" i="42"/>
  <c r="K6" i="42"/>
  <c r="G6" i="42"/>
  <c r="F46" i="41"/>
  <c r="E46" i="41"/>
  <c r="F45" i="41"/>
  <c r="E45" i="41"/>
  <c r="F44" i="41"/>
  <c r="E44" i="41"/>
  <c r="F43" i="41"/>
  <c r="E43" i="41"/>
  <c r="F42" i="41"/>
  <c r="E42" i="41"/>
  <c r="F41" i="41"/>
  <c r="E41" i="41"/>
  <c r="F40" i="41"/>
  <c r="E40" i="41"/>
  <c r="F39" i="41"/>
  <c r="E39" i="41"/>
  <c r="F38" i="41"/>
  <c r="E38" i="41"/>
  <c r="E37" i="41"/>
  <c r="F37" i="41" s="1"/>
  <c r="F30" i="41"/>
  <c r="E30" i="41"/>
  <c r="F29" i="41"/>
  <c r="E29" i="41"/>
  <c r="F28" i="41"/>
  <c r="E28" i="41"/>
  <c r="F27" i="41"/>
  <c r="E27" i="41"/>
  <c r="F26" i="41"/>
  <c r="E26" i="41"/>
  <c r="F25" i="41"/>
  <c r="E25" i="41"/>
  <c r="F24" i="41"/>
  <c r="E24" i="41"/>
  <c r="F23" i="41"/>
  <c r="E23" i="41"/>
  <c r="K15" i="41"/>
  <c r="G15" i="41"/>
  <c r="I15" i="41" s="1"/>
  <c r="K14" i="41"/>
  <c r="G14" i="41"/>
  <c r="I14" i="41" s="1"/>
  <c r="K13" i="41"/>
  <c r="G13" i="41"/>
  <c r="I13" i="41" s="1"/>
  <c r="K12" i="41"/>
  <c r="G12" i="41"/>
  <c r="I12" i="41" s="1"/>
  <c r="K11" i="41"/>
  <c r="G11" i="41"/>
  <c r="I11" i="41" s="1"/>
  <c r="K10" i="41"/>
  <c r="G10" i="41"/>
  <c r="I10" i="41" s="1"/>
  <c r="K9" i="41"/>
  <c r="G9" i="41"/>
  <c r="I9" i="41" s="1"/>
  <c r="K8" i="41"/>
  <c r="G8" i="41"/>
  <c r="G7" i="41"/>
  <c r="G6" i="41"/>
  <c r="F46" i="40"/>
  <c r="E46" i="40"/>
  <c r="F45" i="40"/>
  <c r="E45" i="40"/>
  <c r="F44" i="40"/>
  <c r="E44" i="40"/>
  <c r="F43" i="40"/>
  <c r="E43" i="40"/>
  <c r="F42" i="40"/>
  <c r="E42" i="40"/>
  <c r="F41" i="40"/>
  <c r="E41" i="40"/>
  <c r="F40" i="40"/>
  <c r="E40" i="40"/>
  <c r="F39" i="40"/>
  <c r="E39" i="40"/>
  <c r="E38" i="40"/>
  <c r="F38" i="40" s="1"/>
  <c r="F30" i="40"/>
  <c r="E30" i="40"/>
  <c r="F29" i="40"/>
  <c r="E29" i="40"/>
  <c r="F28" i="40"/>
  <c r="E28" i="40"/>
  <c r="F27" i="40"/>
  <c r="E27" i="40"/>
  <c r="F26" i="40"/>
  <c r="E26" i="40"/>
  <c r="F25" i="40"/>
  <c r="E25" i="40"/>
  <c r="F24" i="40"/>
  <c r="E24" i="40"/>
  <c r="F23" i="40"/>
  <c r="E23" i="40"/>
  <c r="F22" i="40"/>
  <c r="E22" i="40"/>
  <c r="K15" i="40"/>
  <c r="G15" i="40"/>
  <c r="H15" i="40" s="1"/>
  <c r="K14" i="40"/>
  <c r="G14" i="40"/>
  <c r="I14" i="40" s="1"/>
  <c r="K13" i="40"/>
  <c r="I13" i="40"/>
  <c r="G13" i="40"/>
  <c r="H13" i="40" s="1"/>
  <c r="K12" i="40"/>
  <c r="G12" i="40"/>
  <c r="I12" i="40" s="1"/>
  <c r="K11" i="40"/>
  <c r="G11" i="40"/>
  <c r="H11" i="40" s="1"/>
  <c r="K10" i="40"/>
  <c r="G10" i="40"/>
  <c r="I10" i="40" s="1"/>
  <c r="K9" i="40"/>
  <c r="I9" i="40"/>
  <c r="G9" i="40"/>
  <c r="H9" i="40" s="1"/>
  <c r="G8" i="40"/>
  <c r="G7" i="40"/>
  <c r="G6" i="40"/>
  <c r="F39" i="39"/>
  <c r="F40" i="39"/>
  <c r="F41" i="39"/>
  <c r="F42" i="39"/>
  <c r="F43" i="39"/>
  <c r="F44" i="39"/>
  <c r="F45" i="39"/>
  <c r="F46" i="39"/>
  <c r="E46" i="39"/>
  <c r="E45" i="39"/>
  <c r="E44" i="39"/>
  <c r="E43" i="39"/>
  <c r="E42" i="39"/>
  <c r="E41" i="39"/>
  <c r="E40" i="39"/>
  <c r="E39" i="39"/>
  <c r="E38" i="39"/>
  <c r="F38" i="39" s="1"/>
  <c r="F30" i="39"/>
  <c r="E30" i="39"/>
  <c r="F29" i="39"/>
  <c r="E29" i="39"/>
  <c r="F28" i="39"/>
  <c r="E28" i="39"/>
  <c r="F27" i="39"/>
  <c r="E27" i="39"/>
  <c r="F26" i="39"/>
  <c r="E26" i="39"/>
  <c r="F25" i="39"/>
  <c r="E25" i="39"/>
  <c r="F24" i="39"/>
  <c r="E24" i="39"/>
  <c r="F23" i="39"/>
  <c r="E23" i="39"/>
  <c r="K15" i="39"/>
  <c r="G15" i="39"/>
  <c r="I15" i="39" s="1"/>
  <c r="K14" i="39"/>
  <c r="G14" i="39"/>
  <c r="I14" i="39" s="1"/>
  <c r="K13" i="39"/>
  <c r="G13" i="39"/>
  <c r="I13" i="39" s="1"/>
  <c r="K12" i="39"/>
  <c r="G12" i="39"/>
  <c r="I12" i="39" s="1"/>
  <c r="K11" i="39"/>
  <c r="G11" i="39"/>
  <c r="I11" i="39" s="1"/>
  <c r="K10" i="39"/>
  <c r="G10" i="39"/>
  <c r="I10" i="39" s="1"/>
  <c r="K9" i="39"/>
  <c r="G9" i="39"/>
  <c r="I9" i="39" s="1"/>
  <c r="K8" i="39"/>
  <c r="G8" i="39"/>
  <c r="I8" i="39" s="1"/>
  <c r="K7" i="39"/>
  <c r="G7" i="39"/>
  <c r="K6" i="39"/>
  <c r="G6" i="39"/>
  <c r="C7" i="38"/>
  <c r="G7" i="38" s="1"/>
  <c r="C10" i="38"/>
  <c r="G10" i="38" s="1"/>
  <c r="F46" i="38"/>
  <c r="E46" i="38"/>
  <c r="F45" i="38"/>
  <c r="E45" i="38"/>
  <c r="F44" i="38"/>
  <c r="E44" i="38"/>
  <c r="F43" i="38"/>
  <c r="E43" i="38"/>
  <c r="F42" i="38"/>
  <c r="E42" i="38"/>
  <c r="F41" i="38"/>
  <c r="E41" i="38"/>
  <c r="F40" i="38"/>
  <c r="E40" i="38"/>
  <c r="F39" i="38"/>
  <c r="E39" i="38"/>
  <c r="E38" i="38"/>
  <c r="F38" i="38" s="1"/>
  <c r="F30" i="38"/>
  <c r="E30" i="38"/>
  <c r="F29" i="38"/>
  <c r="E29" i="38"/>
  <c r="F28" i="38"/>
  <c r="E28" i="38"/>
  <c r="F27" i="38"/>
  <c r="E27" i="38"/>
  <c r="F26" i="38"/>
  <c r="E26" i="38"/>
  <c r="F25" i="38"/>
  <c r="E25" i="38"/>
  <c r="F24" i="38"/>
  <c r="E24" i="38"/>
  <c r="F23" i="38"/>
  <c r="E23" i="38"/>
  <c r="K15" i="38"/>
  <c r="G15" i="38"/>
  <c r="H15" i="38" s="1"/>
  <c r="K14" i="38"/>
  <c r="G14" i="38"/>
  <c r="I14" i="38" s="1"/>
  <c r="K13" i="38"/>
  <c r="G13" i="38"/>
  <c r="H13" i="38" s="1"/>
  <c r="K12" i="38"/>
  <c r="G12" i="38"/>
  <c r="I12" i="38" s="1"/>
  <c r="G11" i="38"/>
  <c r="G9" i="38"/>
  <c r="G8" i="38"/>
  <c r="G6" i="38"/>
  <c r="E46" i="37"/>
  <c r="D46" i="37"/>
  <c r="E45" i="37"/>
  <c r="D45" i="37"/>
  <c r="E44" i="37"/>
  <c r="D44" i="37"/>
  <c r="E43" i="37"/>
  <c r="D43" i="37"/>
  <c r="E42" i="37"/>
  <c r="D42" i="37"/>
  <c r="E41" i="37"/>
  <c r="D41" i="37"/>
  <c r="E40" i="37"/>
  <c r="D40" i="37"/>
  <c r="E39" i="37"/>
  <c r="D39" i="37"/>
  <c r="E38" i="37"/>
  <c r="D38" i="37"/>
  <c r="E37" i="37"/>
  <c r="D37" i="37"/>
  <c r="F30" i="37"/>
  <c r="E30" i="37"/>
  <c r="F29" i="37"/>
  <c r="E29" i="37"/>
  <c r="F28" i="37"/>
  <c r="E28" i="37"/>
  <c r="F27" i="37"/>
  <c r="E27" i="37"/>
  <c r="F26" i="37"/>
  <c r="E26" i="37"/>
  <c r="F25" i="37"/>
  <c r="E25" i="37"/>
  <c r="F24" i="37"/>
  <c r="E24" i="37"/>
  <c r="F23" i="37"/>
  <c r="E23" i="37"/>
  <c r="F22" i="37"/>
  <c r="E22" i="37"/>
  <c r="F21" i="37"/>
  <c r="E21" i="37"/>
  <c r="K15" i="37"/>
  <c r="I15" i="37"/>
  <c r="G15" i="37"/>
  <c r="H15" i="37" s="1"/>
  <c r="K14" i="37"/>
  <c r="G14" i="37"/>
  <c r="I14" i="37" s="1"/>
  <c r="K13" i="37"/>
  <c r="G13" i="37"/>
  <c r="H13" i="37" s="1"/>
  <c r="K12" i="37"/>
  <c r="G12" i="37"/>
  <c r="I12" i="37" s="1"/>
  <c r="K11" i="37"/>
  <c r="I11" i="37"/>
  <c r="G11" i="37"/>
  <c r="H11" i="37" s="1"/>
  <c r="K10" i="37"/>
  <c r="G10" i="37"/>
  <c r="I10" i="37" s="1"/>
  <c r="K9" i="37"/>
  <c r="I9" i="37"/>
  <c r="G9" i="37"/>
  <c r="H9" i="37" s="1"/>
  <c r="K8" i="37"/>
  <c r="G8" i="37"/>
  <c r="I8" i="37" s="1"/>
  <c r="G7" i="37"/>
  <c r="G6" i="37"/>
  <c r="E46" i="36"/>
  <c r="D46" i="36"/>
  <c r="E45" i="36"/>
  <c r="D45" i="36"/>
  <c r="E44" i="36"/>
  <c r="D44" i="36"/>
  <c r="E43" i="36"/>
  <c r="D43" i="36"/>
  <c r="E42" i="36"/>
  <c r="D42" i="36"/>
  <c r="E41" i="36"/>
  <c r="D41" i="36"/>
  <c r="E40" i="36"/>
  <c r="D40" i="36"/>
  <c r="E39" i="36"/>
  <c r="D39" i="36"/>
  <c r="E38" i="36"/>
  <c r="D38" i="36"/>
  <c r="E37" i="36"/>
  <c r="D37" i="36"/>
  <c r="F30" i="36"/>
  <c r="E30" i="36"/>
  <c r="F29" i="36"/>
  <c r="E29" i="36"/>
  <c r="F28" i="36"/>
  <c r="E28" i="36"/>
  <c r="F27" i="36"/>
  <c r="E27" i="36"/>
  <c r="F26" i="36"/>
  <c r="E26" i="36"/>
  <c r="F25" i="36"/>
  <c r="E25" i="36"/>
  <c r="F24" i="36"/>
  <c r="E24" i="36"/>
  <c r="F23" i="36"/>
  <c r="E23" i="36"/>
  <c r="F22" i="36"/>
  <c r="E22" i="36"/>
  <c r="F21" i="36"/>
  <c r="E21" i="36"/>
  <c r="K15" i="36"/>
  <c r="G15" i="36"/>
  <c r="I15" i="36" s="1"/>
  <c r="K14" i="36"/>
  <c r="G14" i="36"/>
  <c r="I14" i="36" s="1"/>
  <c r="K13" i="36"/>
  <c r="G13" i="36"/>
  <c r="I13" i="36" s="1"/>
  <c r="K12" i="36"/>
  <c r="G12" i="36"/>
  <c r="I12" i="36" s="1"/>
  <c r="K11" i="36"/>
  <c r="G11" i="36"/>
  <c r="I11" i="36" s="1"/>
  <c r="K10" i="36"/>
  <c r="G10" i="36"/>
  <c r="I10" i="36" s="1"/>
  <c r="K9" i="36"/>
  <c r="G9" i="36"/>
  <c r="H9" i="36" s="1"/>
  <c r="K8" i="36"/>
  <c r="G8" i="36"/>
  <c r="I8" i="36" s="1"/>
  <c r="K7" i="36"/>
  <c r="G7" i="36"/>
  <c r="G6" i="36"/>
  <c r="E46" i="35"/>
  <c r="D46" i="35"/>
  <c r="E45" i="35"/>
  <c r="D45" i="35"/>
  <c r="E44" i="35"/>
  <c r="D44" i="35"/>
  <c r="E43" i="35"/>
  <c r="D43" i="35"/>
  <c r="E42" i="35"/>
  <c r="D42" i="35"/>
  <c r="E41" i="35"/>
  <c r="D41" i="35"/>
  <c r="E40" i="35"/>
  <c r="D40" i="35"/>
  <c r="E39" i="35"/>
  <c r="D39" i="35"/>
  <c r="E38" i="35"/>
  <c r="D38" i="35"/>
  <c r="E37" i="35"/>
  <c r="D37" i="35"/>
  <c r="F30" i="35"/>
  <c r="E30" i="35"/>
  <c r="F29" i="35"/>
  <c r="E29" i="35"/>
  <c r="F28" i="35"/>
  <c r="E28" i="35"/>
  <c r="F27" i="35"/>
  <c r="E27" i="35"/>
  <c r="F26" i="35"/>
  <c r="E26" i="35"/>
  <c r="F25" i="35"/>
  <c r="E25" i="35"/>
  <c r="F24" i="35"/>
  <c r="E24" i="35"/>
  <c r="F23" i="35"/>
  <c r="E23" i="35"/>
  <c r="F22" i="35"/>
  <c r="E22" i="35"/>
  <c r="F21" i="35"/>
  <c r="E21" i="35"/>
  <c r="K15" i="35"/>
  <c r="G15" i="35"/>
  <c r="I15" i="35" s="1"/>
  <c r="K14" i="35"/>
  <c r="G14" i="35"/>
  <c r="I14" i="35" s="1"/>
  <c r="K13" i="35"/>
  <c r="G13" i="35"/>
  <c r="I13" i="35" s="1"/>
  <c r="K12" i="35"/>
  <c r="G12" i="35"/>
  <c r="I12" i="35" s="1"/>
  <c r="K11" i="35"/>
  <c r="G11" i="35"/>
  <c r="H11" i="35" s="1"/>
  <c r="K10" i="35"/>
  <c r="G10" i="35"/>
  <c r="I10" i="35" s="1"/>
  <c r="K9" i="35"/>
  <c r="G9" i="35"/>
  <c r="I9" i="35" s="1"/>
  <c r="K8" i="35"/>
  <c r="G8" i="35"/>
  <c r="I8" i="35" s="1"/>
  <c r="G7" i="35"/>
  <c r="G6" i="35"/>
  <c r="D37" i="34"/>
  <c r="D38" i="34"/>
  <c r="E46" i="34"/>
  <c r="D46" i="34"/>
  <c r="E45" i="34"/>
  <c r="D45" i="34"/>
  <c r="E44" i="34"/>
  <c r="D44" i="34"/>
  <c r="E43" i="34"/>
  <c r="D43" i="34"/>
  <c r="E42" i="34"/>
  <c r="D42" i="34"/>
  <c r="E41" i="34"/>
  <c r="D41" i="34"/>
  <c r="E40" i="34"/>
  <c r="D40" i="34"/>
  <c r="E39" i="34"/>
  <c r="D39" i="34"/>
  <c r="E38" i="34"/>
  <c r="E37" i="34"/>
  <c r="F30" i="34"/>
  <c r="E30" i="34"/>
  <c r="F29" i="34"/>
  <c r="E29" i="34"/>
  <c r="F28" i="34"/>
  <c r="E28" i="34"/>
  <c r="F27" i="34"/>
  <c r="E27" i="34"/>
  <c r="F26" i="34"/>
  <c r="E26" i="34"/>
  <c r="F25" i="34"/>
  <c r="E25" i="34"/>
  <c r="F24" i="34"/>
  <c r="E24" i="34"/>
  <c r="F23" i="34"/>
  <c r="E23" i="34"/>
  <c r="F22" i="34"/>
  <c r="E22" i="34"/>
  <c r="E21" i="34"/>
  <c r="F21" i="34" s="1"/>
  <c r="K15" i="34"/>
  <c r="I15" i="34"/>
  <c r="G15" i="34"/>
  <c r="H15" i="34" s="1"/>
  <c r="K14" i="34"/>
  <c r="G14" i="34"/>
  <c r="I14" i="34" s="1"/>
  <c r="K13" i="34"/>
  <c r="G13" i="34"/>
  <c r="I13" i="34" s="1"/>
  <c r="K12" i="34"/>
  <c r="G12" i="34"/>
  <c r="I12" i="34" s="1"/>
  <c r="K11" i="34"/>
  <c r="I11" i="34"/>
  <c r="H11" i="34"/>
  <c r="G11" i="34"/>
  <c r="K10" i="34"/>
  <c r="G10" i="34"/>
  <c r="I10" i="34" s="1"/>
  <c r="K9" i="34"/>
  <c r="I9" i="34"/>
  <c r="G9" i="34"/>
  <c r="H9" i="34" s="1"/>
  <c r="K8" i="34"/>
  <c r="G8" i="34"/>
  <c r="I8" i="34" s="1"/>
  <c r="G7" i="34"/>
  <c r="G6" i="34"/>
  <c r="E46" i="33"/>
  <c r="D46" i="33"/>
  <c r="E45" i="33"/>
  <c r="D45" i="33"/>
  <c r="E44" i="33"/>
  <c r="D44" i="33"/>
  <c r="E43" i="33"/>
  <c r="D43" i="33"/>
  <c r="E42" i="33"/>
  <c r="D42" i="33"/>
  <c r="E41" i="33"/>
  <c r="D41" i="33"/>
  <c r="E40" i="33"/>
  <c r="D40" i="33"/>
  <c r="E39" i="33"/>
  <c r="D39" i="33"/>
  <c r="F30" i="33"/>
  <c r="E30" i="33"/>
  <c r="F29" i="33"/>
  <c r="E29" i="33"/>
  <c r="F28" i="33"/>
  <c r="E28" i="33"/>
  <c r="F27" i="33"/>
  <c r="E27" i="33"/>
  <c r="F26" i="33"/>
  <c r="E26" i="33"/>
  <c r="F25" i="33"/>
  <c r="E25" i="33"/>
  <c r="F24" i="33"/>
  <c r="E24" i="33"/>
  <c r="K15" i="33"/>
  <c r="G15" i="33"/>
  <c r="I15" i="33" s="1"/>
  <c r="K14" i="33"/>
  <c r="G14" i="33"/>
  <c r="I14" i="33" s="1"/>
  <c r="K13" i="33"/>
  <c r="G13" i="33"/>
  <c r="I13" i="33" s="1"/>
  <c r="K12" i="33"/>
  <c r="G12" i="33"/>
  <c r="I12" i="33" s="1"/>
  <c r="K11" i="33"/>
  <c r="G11" i="33"/>
  <c r="I11" i="33" s="1"/>
  <c r="K10" i="33"/>
  <c r="G10" i="33"/>
  <c r="I10" i="33" s="1"/>
  <c r="K9" i="33"/>
  <c r="G9" i="33"/>
  <c r="I9" i="33" s="1"/>
  <c r="K8" i="33"/>
  <c r="G8" i="33"/>
  <c r="I8" i="33" s="1"/>
  <c r="G7" i="33"/>
  <c r="K6" i="33"/>
  <c r="G6" i="33"/>
  <c r="I13" i="37" l="1"/>
  <c r="I11" i="40"/>
  <c r="I15" i="40"/>
  <c r="I15" i="42"/>
  <c r="H13" i="34"/>
  <c r="I13" i="42"/>
  <c r="F31" i="34"/>
  <c r="C51" i="34" s="1"/>
  <c r="F31" i="37"/>
  <c r="C51" i="37" s="1"/>
  <c r="F31" i="35"/>
  <c r="C51" i="35" s="1"/>
  <c r="F31" i="36"/>
  <c r="C51" i="36" s="1"/>
  <c r="E47" i="36"/>
  <c r="C52" i="36" s="1"/>
  <c r="E47" i="37"/>
  <c r="C52" i="37" s="1"/>
  <c r="F47" i="41"/>
  <c r="C52" i="41" s="1"/>
  <c r="E47" i="34"/>
  <c r="C52" i="34" s="1"/>
  <c r="E47" i="35"/>
  <c r="C52" i="35" s="1"/>
  <c r="I13" i="38"/>
  <c r="I15" i="38"/>
  <c r="H6" i="42"/>
  <c r="I6" i="42" s="1"/>
  <c r="H14" i="42"/>
  <c r="H9" i="41"/>
  <c r="H11" i="41"/>
  <c r="H13" i="41"/>
  <c r="H15" i="41"/>
  <c r="H8" i="41"/>
  <c r="I8" i="41" s="1"/>
  <c r="H10" i="41"/>
  <c r="H12" i="41"/>
  <c r="H14" i="41"/>
  <c r="H10" i="40"/>
  <c r="H12" i="40"/>
  <c r="H14" i="40"/>
  <c r="H7" i="39"/>
  <c r="I7" i="39" s="1"/>
  <c r="H9" i="39"/>
  <c r="H11" i="39"/>
  <c r="H13" i="39"/>
  <c r="H15" i="39"/>
  <c r="H6" i="39"/>
  <c r="I6" i="39" s="1"/>
  <c r="H8" i="39"/>
  <c r="H10" i="39"/>
  <c r="H12" i="39"/>
  <c r="H14" i="39"/>
  <c r="H12" i="38"/>
  <c r="H14" i="38"/>
  <c r="H8" i="37"/>
  <c r="H10" i="37"/>
  <c r="H12" i="37"/>
  <c r="H14" i="37"/>
  <c r="H11" i="36"/>
  <c r="I9" i="36"/>
  <c r="H7" i="36"/>
  <c r="I7" i="36" s="1"/>
  <c r="H13" i="36"/>
  <c r="H15" i="36"/>
  <c r="H8" i="36"/>
  <c r="H10" i="36"/>
  <c r="H12" i="36"/>
  <c r="H14" i="36"/>
  <c r="H9" i="35"/>
  <c r="H13" i="35"/>
  <c r="H15" i="35"/>
  <c r="I11" i="35"/>
  <c r="H8" i="35"/>
  <c r="H10" i="35"/>
  <c r="H12" i="35"/>
  <c r="H14" i="35"/>
  <c r="H8" i="34"/>
  <c r="H10" i="34"/>
  <c r="H12" i="34"/>
  <c r="H14" i="34"/>
  <c r="H9" i="33"/>
  <c r="H11" i="33"/>
  <c r="H13" i="33"/>
  <c r="H15" i="33"/>
  <c r="H8" i="33"/>
  <c r="H10" i="33"/>
  <c r="H12" i="33"/>
  <c r="H14" i="33"/>
  <c r="I16" i="39" l="1"/>
  <c r="C50" i="39" s="1"/>
  <c r="E46" i="32" l="1"/>
  <c r="D46" i="32"/>
  <c r="E45" i="32"/>
  <c r="D45" i="32"/>
  <c r="E44" i="32"/>
  <c r="D44" i="32"/>
  <c r="E43" i="32"/>
  <c r="D43" i="32"/>
  <c r="E42" i="32"/>
  <c r="D42" i="32"/>
  <c r="E41" i="32"/>
  <c r="D41" i="32"/>
  <c r="E40" i="32"/>
  <c r="D40" i="32"/>
  <c r="E39" i="32"/>
  <c r="D39" i="32"/>
  <c r="E38" i="32"/>
  <c r="D38" i="32"/>
  <c r="E37" i="32"/>
  <c r="D37" i="32"/>
  <c r="F30" i="32"/>
  <c r="E30" i="32"/>
  <c r="F29" i="32"/>
  <c r="E29" i="32"/>
  <c r="F28" i="32"/>
  <c r="E28" i="32"/>
  <c r="F27" i="32"/>
  <c r="E27" i="32"/>
  <c r="F26" i="32"/>
  <c r="E26" i="32"/>
  <c r="F25" i="32"/>
  <c r="E25" i="32"/>
  <c r="F24" i="32"/>
  <c r="E24" i="32"/>
  <c r="K15" i="32"/>
  <c r="G15" i="32"/>
  <c r="I15" i="32" s="1"/>
  <c r="K14" i="32"/>
  <c r="G14" i="32"/>
  <c r="I14" i="32" s="1"/>
  <c r="K13" i="32"/>
  <c r="G13" i="32"/>
  <c r="I13" i="32" s="1"/>
  <c r="K12" i="32"/>
  <c r="G12" i="32"/>
  <c r="I12" i="32" s="1"/>
  <c r="K11" i="32"/>
  <c r="G11" i="32"/>
  <c r="I11" i="32" s="1"/>
  <c r="K10" i="32"/>
  <c r="G10" i="32"/>
  <c r="I10" i="32" s="1"/>
  <c r="K9" i="32"/>
  <c r="G9" i="32"/>
  <c r="H9" i="32" s="1"/>
  <c r="K8" i="32"/>
  <c r="G8" i="32"/>
  <c r="I8" i="32" s="1"/>
  <c r="K7" i="32"/>
  <c r="G7" i="32"/>
  <c r="G6" i="32"/>
  <c r="E46" i="31"/>
  <c r="D46" i="31"/>
  <c r="E45" i="31"/>
  <c r="D45" i="31"/>
  <c r="E44" i="31"/>
  <c r="D44" i="31"/>
  <c r="E43" i="31"/>
  <c r="D43" i="31"/>
  <c r="E42" i="31"/>
  <c r="D42" i="31"/>
  <c r="E41" i="31"/>
  <c r="D41" i="31"/>
  <c r="E40" i="31"/>
  <c r="D40" i="31"/>
  <c r="E39" i="31"/>
  <c r="D39" i="31"/>
  <c r="E38" i="31"/>
  <c r="D38" i="31"/>
  <c r="E37" i="31"/>
  <c r="D37" i="31"/>
  <c r="F30" i="31"/>
  <c r="E30" i="31"/>
  <c r="F29" i="31"/>
  <c r="E29" i="31"/>
  <c r="F28" i="31"/>
  <c r="E28" i="31"/>
  <c r="F27" i="31"/>
  <c r="E27" i="31"/>
  <c r="F26" i="31"/>
  <c r="E26" i="31"/>
  <c r="F25" i="31"/>
  <c r="E25" i="31"/>
  <c r="F24" i="31"/>
  <c r="E24" i="31"/>
  <c r="F23" i="31"/>
  <c r="E23" i="31"/>
  <c r="F22" i="31"/>
  <c r="E22" i="31"/>
  <c r="K15" i="31"/>
  <c r="G15" i="31"/>
  <c r="I15" i="31" s="1"/>
  <c r="K14" i="31"/>
  <c r="G14" i="31"/>
  <c r="I14" i="31" s="1"/>
  <c r="K13" i="31"/>
  <c r="G13" i="31"/>
  <c r="I13" i="31" s="1"/>
  <c r="K12" i="31"/>
  <c r="G12" i="31"/>
  <c r="I12" i="31" s="1"/>
  <c r="K11" i="31"/>
  <c r="G11" i="31"/>
  <c r="I11" i="31" s="1"/>
  <c r="K10" i="31"/>
  <c r="G10" i="31"/>
  <c r="I10" i="31" s="1"/>
  <c r="K9" i="31"/>
  <c r="G9" i="31"/>
  <c r="I9" i="31" s="1"/>
  <c r="K8" i="31"/>
  <c r="G8" i="31"/>
  <c r="I8" i="31" s="1"/>
  <c r="K7" i="31"/>
  <c r="G7" i="31"/>
  <c r="I7" i="31" s="1"/>
  <c r="K6" i="31"/>
  <c r="G6" i="31"/>
  <c r="I173" i="2"/>
  <c r="I174" i="2"/>
  <c r="H6" i="33" s="1"/>
  <c r="I6" i="33" s="1"/>
  <c r="E47" i="32" l="1"/>
  <c r="C52" i="32" s="1"/>
  <c r="E47" i="31"/>
  <c r="C52" i="31" s="1"/>
  <c r="H11" i="32"/>
  <c r="H7" i="32"/>
  <c r="I7" i="32" s="1"/>
  <c r="I9" i="32"/>
  <c r="H13" i="32"/>
  <c r="H15" i="32"/>
  <c r="H8" i="32"/>
  <c r="H10" i="32"/>
  <c r="H12" i="32"/>
  <c r="H14" i="32"/>
  <c r="H15" i="31"/>
  <c r="H9" i="31"/>
  <c r="H13" i="31"/>
  <c r="H7" i="31"/>
  <c r="H11" i="31"/>
  <c r="H8" i="31"/>
  <c r="H10" i="31"/>
  <c r="H12" i="31"/>
  <c r="H14" i="31"/>
  <c r="E46" i="30" l="1"/>
  <c r="D46" i="30"/>
  <c r="E45" i="30"/>
  <c r="D45" i="30"/>
  <c r="E44" i="30"/>
  <c r="D44" i="30"/>
  <c r="E43" i="30"/>
  <c r="D43" i="30"/>
  <c r="E42" i="30"/>
  <c r="D42" i="30"/>
  <c r="E41" i="30"/>
  <c r="D41" i="30"/>
  <c r="E40" i="30"/>
  <c r="D40" i="30"/>
  <c r="E39" i="30"/>
  <c r="D39" i="30"/>
  <c r="E38" i="30"/>
  <c r="D38" i="30"/>
  <c r="E37" i="30"/>
  <c r="D37" i="30"/>
  <c r="F30" i="30"/>
  <c r="E30" i="30"/>
  <c r="F29" i="30"/>
  <c r="E29" i="30"/>
  <c r="F28" i="30"/>
  <c r="E28" i="30"/>
  <c r="F27" i="30"/>
  <c r="E27" i="30"/>
  <c r="F26" i="30"/>
  <c r="E26" i="30"/>
  <c r="F25" i="30"/>
  <c r="E25" i="30"/>
  <c r="F24" i="30"/>
  <c r="E24" i="30"/>
  <c r="F23" i="30"/>
  <c r="E23" i="30"/>
  <c r="F22" i="30"/>
  <c r="E22" i="30"/>
  <c r="K15" i="30"/>
  <c r="G15" i="30"/>
  <c r="I15" i="30" s="1"/>
  <c r="K14" i="30"/>
  <c r="G14" i="30"/>
  <c r="I14" i="30" s="1"/>
  <c r="K13" i="30"/>
  <c r="I13" i="30"/>
  <c r="G13" i="30"/>
  <c r="H13" i="30" s="1"/>
  <c r="K12" i="30"/>
  <c r="H12" i="30"/>
  <c r="G12" i="30"/>
  <c r="I12" i="30" s="1"/>
  <c r="K11" i="30"/>
  <c r="I11" i="30"/>
  <c r="H11" i="30"/>
  <c r="G11" i="30"/>
  <c r="K10" i="30"/>
  <c r="G10" i="30"/>
  <c r="I10" i="30" s="1"/>
  <c r="K9" i="30"/>
  <c r="G9" i="30"/>
  <c r="I9" i="30" s="1"/>
  <c r="K8" i="30"/>
  <c r="G8" i="30"/>
  <c r="I8" i="30" s="1"/>
  <c r="K7" i="30"/>
  <c r="G7" i="30"/>
  <c r="I7" i="30" s="1"/>
  <c r="K6" i="30"/>
  <c r="G6" i="30"/>
  <c r="H6" i="30" s="1"/>
  <c r="G104" i="2"/>
  <c r="I130" i="2"/>
  <c r="K127" i="2"/>
  <c r="K128" i="2"/>
  <c r="K129" i="2"/>
  <c r="K130" i="2"/>
  <c r="K131" i="2"/>
  <c r="K132" i="2"/>
  <c r="K133" i="2"/>
  <c r="K134" i="2"/>
  <c r="K135" i="2"/>
  <c r="K7" i="33" s="1"/>
  <c r="K136" i="2"/>
  <c r="K137" i="2"/>
  <c r="K138" i="2"/>
  <c r="K139" i="2"/>
  <c r="K140" i="2"/>
  <c r="K141" i="2"/>
  <c r="K142" i="2"/>
  <c r="K143" i="2"/>
  <c r="K11" i="38" s="1"/>
  <c r="K144" i="2"/>
  <c r="K145" i="2"/>
  <c r="K146" i="2"/>
  <c r="K147" i="2"/>
  <c r="K148" i="2"/>
  <c r="K149" i="2"/>
  <c r="K150" i="2"/>
  <c r="K151" i="2"/>
  <c r="K152" i="2"/>
  <c r="K153" i="2"/>
  <c r="K154" i="2"/>
  <c r="K9" i="38" s="1"/>
  <c r="K155" i="2"/>
  <c r="K7" i="40" s="1"/>
  <c r="K156" i="2"/>
  <c r="K7" i="41" s="1"/>
  <c r="K157" i="2"/>
  <c r="K158" i="2"/>
  <c r="K6" i="37" s="1"/>
  <c r="K159" i="2"/>
  <c r="K8" i="43" s="1"/>
  <c r="K160" i="2"/>
  <c r="K161" i="2"/>
  <c r="K162" i="2"/>
  <c r="K163" i="2"/>
  <c r="K164" i="2"/>
  <c r="K165" i="2"/>
  <c r="K166" i="2"/>
  <c r="K167" i="2"/>
  <c r="K168" i="2"/>
  <c r="K169" i="2"/>
  <c r="K171" i="2"/>
  <c r="K172" i="2"/>
  <c r="K7" i="26" s="1"/>
  <c r="F46" i="28"/>
  <c r="F45" i="28"/>
  <c r="F44" i="28"/>
  <c r="F43" i="28"/>
  <c r="F42" i="28"/>
  <c r="F41" i="28"/>
  <c r="F40" i="28"/>
  <c r="F39" i="28"/>
  <c r="F38" i="28"/>
  <c r="E46" i="29"/>
  <c r="D46" i="29"/>
  <c r="E45" i="29"/>
  <c r="D45" i="29"/>
  <c r="E44" i="29"/>
  <c r="D44" i="29"/>
  <c r="E43" i="29"/>
  <c r="D43" i="29"/>
  <c r="E42" i="29"/>
  <c r="D42" i="29"/>
  <c r="E41" i="29"/>
  <c r="D41" i="29"/>
  <c r="E40" i="29"/>
  <c r="D40" i="29"/>
  <c r="E39" i="29"/>
  <c r="D39" i="29"/>
  <c r="E38" i="29"/>
  <c r="D38" i="29"/>
  <c r="E37" i="29"/>
  <c r="D37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K15" i="29"/>
  <c r="I15" i="29"/>
  <c r="G15" i="29"/>
  <c r="H15" i="29" s="1"/>
  <c r="K14" i="29"/>
  <c r="G14" i="29"/>
  <c r="I14" i="29" s="1"/>
  <c r="K13" i="29"/>
  <c r="G13" i="29"/>
  <c r="H13" i="29" s="1"/>
  <c r="K12" i="29"/>
  <c r="G12" i="29"/>
  <c r="I12" i="29" s="1"/>
  <c r="G11" i="29"/>
  <c r="G10" i="29"/>
  <c r="G9" i="29"/>
  <c r="K8" i="29"/>
  <c r="G8" i="29"/>
  <c r="K7" i="29"/>
  <c r="G7" i="29"/>
  <c r="G6" i="29"/>
  <c r="E46" i="28"/>
  <c r="E45" i="28"/>
  <c r="E44" i="28"/>
  <c r="E43" i="28"/>
  <c r="E42" i="28"/>
  <c r="E41" i="28"/>
  <c r="E40" i="28"/>
  <c r="E39" i="28"/>
  <c r="E38" i="28"/>
  <c r="F30" i="28"/>
  <c r="E30" i="28"/>
  <c r="F29" i="28"/>
  <c r="E29" i="28"/>
  <c r="F28" i="28"/>
  <c r="E28" i="28"/>
  <c r="F27" i="28"/>
  <c r="E27" i="28"/>
  <c r="F26" i="28"/>
  <c r="E26" i="28"/>
  <c r="F25" i="28"/>
  <c r="E25" i="28"/>
  <c r="F24" i="28"/>
  <c r="E24" i="28"/>
  <c r="F23" i="28"/>
  <c r="E23" i="28"/>
  <c r="K15" i="28"/>
  <c r="G15" i="28"/>
  <c r="I15" i="28" s="1"/>
  <c r="K14" i="28"/>
  <c r="G14" i="28"/>
  <c r="I14" i="28" s="1"/>
  <c r="K13" i="28"/>
  <c r="G13" i="28"/>
  <c r="I13" i="28" s="1"/>
  <c r="K12" i="28"/>
  <c r="G12" i="28"/>
  <c r="I12" i="28" s="1"/>
  <c r="K11" i="28"/>
  <c r="G11" i="28"/>
  <c r="I11" i="28" s="1"/>
  <c r="K10" i="28"/>
  <c r="G10" i="28"/>
  <c r="I10" i="28" s="1"/>
  <c r="K9" i="28"/>
  <c r="G9" i="28"/>
  <c r="I9" i="28" s="1"/>
  <c r="K8" i="28"/>
  <c r="G8" i="28"/>
  <c r="I8" i="28" s="1"/>
  <c r="K7" i="28"/>
  <c r="G7" i="28"/>
  <c r="I7" i="28" s="1"/>
  <c r="G6" i="28"/>
  <c r="E46" i="27"/>
  <c r="D46" i="27"/>
  <c r="E45" i="27"/>
  <c r="D45" i="27"/>
  <c r="E44" i="27"/>
  <c r="D44" i="27"/>
  <c r="E43" i="27"/>
  <c r="D43" i="27"/>
  <c r="E42" i="27"/>
  <c r="D42" i="27"/>
  <c r="E41" i="27"/>
  <c r="D41" i="27"/>
  <c r="E40" i="27"/>
  <c r="D40" i="27"/>
  <c r="E39" i="27"/>
  <c r="D39" i="27"/>
  <c r="E38" i="27"/>
  <c r="D38" i="27"/>
  <c r="E37" i="27"/>
  <c r="D37" i="27"/>
  <c r="F30" i="27"/>
  <c r="E30" i="27"/>
  <c r="F29" i="27"/>
  <c r="E29" i="27"/>
  <c r="F28" i="27"/>
  <c r="E28" i="27"/>
  <c r="F27" i="27"/>
  <c r="E27" i="27"/>
  <c r="F26" i="27"/>
  <c r="E26" i="27"/>
  <c r="F25" i="27"/>
  <c r="E25" i="27"/>
  <c r="F24" i="27"/>
  <c r="E24" i="27"/>
  <c r="F23" i="27"/>
  <c r="E23" i="27"/>
  <c r="F22" i="27"/>
  <c r="E22" i="27"/>
  <c r="F21" i="27"/>
  <c r="E21" i="27"/>
  <c r="K15" i="27"/>
  <c r="G15" i="27"/>
  <c r="I15" i="27" s="1"/>
  <c r="K14" i="27"/>
  <c r="G14" i="27"/>
  <c r="I14" i="27" s="1"/>
  <c r="K13" i="27"/>
  <c r="G13" i="27"/>
  <c r="I13" i="27" s="1"/>
  <c r="K12" i="27"/>
  <c r="G12" i="27"/>
  <c r="I12" i="27" s="1"/>
  <c r="K11" i="27"/>
  <c r="G11" i="27"/>
  <c r="I11" i="27" s="1"/>
  <c r="K10" i="27"/>
  <c r="G10" i="27"/>
  <c r="I10" i="27" s="1"/>
  <c r="K9" i="27"/>
  <c r="G9" i="27"/>
  <c r="I9" i="27" s="1"/>
  <c r="K8" i="27"/>
  <c r="G8" i="27"/>
  <c r="I8" i="27" s="1"/>
  <c r="K7" i="27"/>
  <c r="G7" i="27"/>
  <c r="I7" i="27" s="1"/>
  <c r="G6" i="27"/>
  <c r="E46" i="26"/>
  <c r="D46" i="26"/>
  <c r="E45" i="26"/>
  <c r="D45" i="26"/>
  <c r="E44" i="26"/>
  <c r="D44" i="26"/>
  <c r="E43" i="26"/>
  <c r="D43" i="26"/>
  <c r="E42" i="26"/>
  <c r="D42" i="26"/>
  <c r="E41" i="26"/>
  <c r="D41" i="26"/>
  <c r="E40" i="26"/>
  <c r="D40" i="26"/>
  <c r="E39" i="26"/>
  <c r="D39" i="26"/>
  <c r="E38" i="26"/>
  <c r="D38" i="26"/>
  <c r="E37" i="26"/>
  <c r="D37" i="26"/>
  <c r="F30" i="26"/>
  <c r="E30" i="26"/>
  <c r="F29" i="26"/>
  <c r="E29" i="26"/>
  <c r="F28" i="26"/>
  <c r="E28" i="26"/>
  <c r="F27" i="26"/>
  <c r="E27" i="26"/>
  <c r="F26" i="26"/>
  <c r="E26" i="26"/>
  <c r="F25" i="26"/>
  <c r="E25" i="26"/>
  <c r="F24" i="26"/>
  <c r="E24" i="26"/>
  <c r="F23" i="26"/>
  <c r="E23" i="26"/>
  <c r="F22" i="26"/>
  <c r="E22" i="26"/>
  <c r="F21" i="26"/>
  <c r="E21" i="26"/>
  <c r="K15" i="26"/>
  <c r="G15" i="26"/>
  <c r="I15" i="26" s="1"/>
  <c r="K14" i="26"/>
  <c r="G14" i="26"/>
  <c r="I14" i="26" s="1"/>
  <c r="K13" i="26"/>
  <c r="G13" i="26"/>
  <c r="I13" i="26" s="1"/>
  <c r="K12" i="26"/>
  <c r="G12" i="26"/>
  <c r="I12" i="26" s="1"/>
  <c r="K11" i="26"/>
  <c r="G11" i="26"/>
  <c r="I11" i="26" s="1"/>
  <c r="K10" i="26"/>
  <c r="G10" i="26"/>
  <c r="I10" i="26" s="1"/>
  <c r="K9" i="26"/>
  <c r="G9" i="26"/>
  <c r="I9" i="26" s="1"/>
  <c r="K8" i="26"/>
  <c r="G8" i="26"/>
  <c r="I8" i="26" s="1"/>
  <c r="G7" i="26"/>
  <c r="G6" i="26"/>
  <c r="E46" i="25"/>
  <c r="D46" i="25"/>
  <c r="E45" i="25"/>
  <c r="D45" i="25"/>
  <c r="E44" i="25"/>
  <c r="D44" i="25"/>
  <c r="E43" i="25"/>
  <c r="D43" i="25"/>
  <c r="E42" i="25"/>
  <c r="D42" i="25"/>
  <c r="E41" i="25"/>
  <c r="D41" i="25"/>
  <c r="E40" i="25"/>
  <c r="D40" i="25"/>
  <c r="E39" i="25"/>
  <c r="D39" i="25"/>
  <c r="E38" i="25"/>
  <c r="D38" i="25"/>
  <c r="E37" i="25"/>
  <c r="D37" i="25"/>
  <c r="F30" i="25"/>
  <c r="E30" i="25"/>
  <c r="F29" i="25"/>
  <c r="E29" i="25"/>
  <c r="F28" i="25"/>
  <c r="E28" i="25"/>
  <c r="F27" i="25"/>
  <c r="E27" i="25"/>
  <c r="F26" i="25"/>
  <c r="E26" i="25"/>
  <c r="F25" i="25"/>
  <c r="E25" i="25"/>
  <c r="F24" i="25"/>
  <c r="E24" i="25"/>
  <c r="F23" i="25"/>
  <c r="E23" i="25"/>
  <c r="F22" i="25"/>
  <c r="E22" i="25"/>
  <c r="F21" i="25"/>
  <c r="E21" i="25"/>
  <c r="K15" i="25"/>
  <c r="G15" i="25"/>
  <c r="H15" i="25" s="1"/>
  <c r="K14" i="25"/>
  <c r="G14" i="25"/>
  <c r="I14" i="25" s="1"/>
  <c r="K13" i="25"/>
  <c r="I13" i="25"/>
  <c r="G13" i="25"/>
  <c r="H13" i="25" s="1"/>
  <c r="K12" i="25"/>
  <c r="G12" i="25"/>
  <c r="I12" i="25" s="1"/>
  <c r="K11" i="25"/>
  <c r="G11" i="25"/>
  <c r="H11" i="25" s="1"/>
  <c r="K10" i="25"/>
  <c r="G10" i="25"/>
  <c r="I10" i="25" s="1"/>
  <c r="K9" i="25"/>
  <c r="I9" i="25"/>
  <c r="G9" i="25"/>
  <c r="H9" i="25" s="1"/>
  <c r="K8" i="25"/>
  <c r="G8" i="25"/>
  <c r="K7" i="25"/>
  <c r="G7" i="25"/>
  <c r="G6" i="25"/>
  <c r="E46" i="24"/>
  <c r="D46" i="24"/>
  <c r="E45" i="24"/>
  <c r="D45" i="24"/>
  <c r="E44" i="24"/>
  <c r="D44" i="24"/>
  <c r="E43" i="24"/>
  <c r="D43" i="24"/>
  <c r="E42" i="24"/>
  <c r="D42" i="24"/>
  <c r="E41" i="24"/>
  <c r="D41" i="24"/>
  <c r="E40" i="24"/>
  <c r="D40" i="24"/>
  <c r="E39" i="24"/>
  <c r="D39" i="24"/>
  <c r="E38" i="24"/>
  <c r="D38" i="24"/>
  <c r="E37" i="24"/>
  <c r="D37" i="24"/>
  <c r="F30" i="24"/>
  <c r="E30" i="24"/>
  <c r="F29" i="24"/>
  <c r="E29" i="24"/>
  <c r="F28" i="24"/>
  <c r="E28" i="24"/>
  <c r="F27" i="24"/>
  <c r="E27" i="24"/>
  <c r="F26" i="24"/>
  <c r="E26" i="24"/>
  <c r="F25" i="24"/>
  <c r="E25" i="24"/>
  <c r="F24" i="24"/>
  <c r="E24" i="24"/>
  <c r="F23" i="24"/>
  <c r="E23" i="24"/>
  <c r="F22" i="24"/>
  <c r="E22" i="24"/>
  <c r="F21" i="24"/>
  <c r="E21" i="24"/>
  <c r="K15" i="24"/>
  <c r="G15" i="24"/>
  <c r="I15" i="24" s="1"/>
  <c r="K14" i="24"/>
  <c r="G14" i="24"/>
  <c r="I14" i="24" s="1"/>
  <c r="K13" i="24"/>
  <c r="G13" i="24"/>
  <c r="I13" i="24" s="1"/>
  <c r="K12" i="24"/>
  <c r="G12" i="24"/>
  <c r="I12" i="24" s="1"/>
  <c r="K11" i="24"/>
  <c r="G11" i="24"/>
  <c r="I11" i="24" s="1"/>
  <c r="K10" i="24"/>
  <c r="G10" i="24"/>
  <c r="I10" i="24" s="1"/>
  <c r="K9" i="24"/>
  <c r="G9" i="24"/>
  <c r="I9" i="24" s="1"/>
  <c r="G8" i="24"/>
  <c r="G7" i="24"/>
  <c r="G6" i="24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F30" i="23"/>
  <c r="E30" i="23"/>
  <c r="F29" i="23"/>
  <c r="E29" i="23"/>
  <c r="F28" i="23"/>
  <c r="E28" i="23"/>
  <c r="F27" i="23"/>
  <c r="E27" i="23"/>
  <c r="F26" i="23"/>
  <c r="E26" i="23"/>
  <c r="F25" i="23"/>
  <c r="E25" i="23"/>
  <c r="F24" i="23"/>
  <c r="E24" i="23"/>
  <c r="F23" i="23"/>
  <c r="E23" i="23"/>
  <c r="F22" i="23"/>
  <c r="E22" i="23"/>
  <c r="F21" i="23"/>
  <c r="E21" i="23"/>
  <c r="K15" i="23"/>
  <c r="G15" i="23"/>
  <c r="I15" i="23" s="1"/>
  <c r="K14" i="23"/>
  <c r="G14" i="23"/>
  <c r="I14" i="23" s="1"/>
  <c r="K13" i="23"/>
  <c r="G13" i="23"/>
  <c r="I13" i="23" s="1"/>
  <c r="K12" i="23"/>
  <c r="G12" i="23"/>
  <c r="I12" i="23" s="1"/>
  <c r="K11" i="23"/>
  <c r="G11" i="23"/>
  <c r="I11" i="23" s="1"/>
  <c r="K10" i="23"/>
  <c r="G10" i="23"/>
  <c r="I10" i="23" s="1"/>
  <c r="K9" i="23"/>
  <c r="G9" i="23"/>
  <c r="I9" i="23" s="1"/>
  <c r="K8" i="23"/>
  <c r="G8" i="23"/>
  <c r="K7" i="23"/>
  <c r="G7" i="23"/>
  <c r="G6" i="23"/>
  <c r="E46" i="22"/>
  <c r="D46" i="22"/>
  <c r="E45" i="22"/>
  <c r="D45" i="22"/>
  <c r="E44" i="22"/>
  <c r="D44" i="22"/>
  <c r="E43" i="22"/>
  <c r="D43" i="22"/>
  <c r="E42" i="22"/>
  <c r="D42" i="22"/>
  <c r="E41" i="22"/>
  <c r="D41" i="22"/>
  <c r="E40" i="22"/>
  <c r="D40" i="22"/>
  <c r="E39" i="22"/>
  <c r="D39" i="22"/>
  <c r="E38" i="22"/>
  <c r="D38" i="22"/>
  <c r="E37" i="22"/>
  <c r="D37" i="22"/>
  <c r="F30" i="22"/>
  <c r="E30" i="22"/>
  <c r="F29" i="22"/>
  <c r="E29" i="22"/>
  <c r="F28" i="22"/>
  <c r="E28" i="22"/>
  <c r="F27" i="22"/>
  <c r="E27" i="22"/>
  <c r="F26" i="22"/>
  <c r="E26" i="22"/>
  <c r="F25" i="22"/>
  <c r="E25" i="22"/>
  <c r="F24" i="22"/>
  <c r="E24" i="22"/>
  <c r="F23" i="22"/>
  <c r="E23" i="22"/>
  <c r="F22" i="22"/>
  <c r="E22" i="22"/>
  <c r="F21" i="22"/>
  <c r="E21" i="22"/>
  <c r="K15" i="22"/>
  <c r="I15" i="22"/>
  <c r="G15" i="22"/>
  <c r="H15" i="22" s="1"/>
  <c r="K14" i="22"/>
  <c r="G14" i="22"/>
  <c r="I14" i="22" s="1"/>
  <c r="K13" i="22"/>
  <c r="G13" i="22"/>
  <c r="H13" i="22" s="1"/>
  <c r="K12" i="22"/>
  <c r="G12" i="22"/>
  <c r="I12" i="22" s="1"/>
  <c r="K11" i="22"/>
  <c r="I11" i="22"/>
  <c r="G11" i="22"/>
  <c r="H11" i="22" s="1"/>
  <c r="K10" i="22"/>
  <c r="G10" i="22"/>
  <c r="I10" i="22" s="1"/>
  <c r="K9" i="22"/>
  <c r="G9" i="22"/>
  <c r="H9" i="22" s="1"/>
  <c r="K8" i="22"/>
  <c r="G8" i="22"/>
  <c r="I8" i="22" s="1"/>
  <c r="G7" i="22"/>
  <c r="G6" i="22"/>
  <c r="E46" i="21"/>
  <c r="D46" i="21"/>
  <c r="E45" i="21"/>
  <c r="D45" i="21"/>
  <c r="E44" i="21"/>
  <c r="D44" i="21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F30" i="21"/>
  <c r="E30" i="21"/>
  <c r="F29" i="21"/>
  <c r="E29" i="21"/>
  <c r="F28" i="21"/>
  <c r="E28" i="21"/>
  <c r="F27" i="21"/>
  <c r="E27" i="21"/>
  <c r="F26" i="21"/>
  <c r="E26" i="21"/>
  <c r="F25" i="21"/>
  <c r="E25" i="21"/>
  <c r="K15" i="21"/>
  <c r="G15" i="21"/>
  <c r="I15" i="21" s="1"/>
  <c r="K14" i="21"/>
  <c r="G14" i="21"/>
  <c r="I14" i="21" s="1"/>
  <c r="K13" i="21"/>
  <c r="G13" i="21"/>
  <c r="H13" i="21" s="1"/>
  <c r="K12" i="21"/>
  <c r="G12" i="21"/>
  <c r="I12" i="21" s="1"/>
  <c r="K11" i="21"/>
  <c r="G11" i="21"/>
  <c r="I11" i="21" s="1"/>
  <c r="K10" i="21"/>
  <c r="G10" i="21"/>
  <c r="G9" i="21"/>
  <c r="G8" i="21"/>
  <c r="G7" i="21"/>
  <c r="G6" i="21"/>
  <c r="E46" i="20"/>
  <c r="D46" i="20"/>
  <c r="E45" i="20"/>
  <c r="D45" i="20"/>
  <c r="E44" i="20"/>
  <c r="D44" i="20"/>
  <c r="E43" i="20"/>
  <c r="D43" i="20"/>
  <c r="E42" i="20"/>
  <c r="D42" i="20"/>
  <c r="E41" i="20"/>
  <c r="D41" i="20"/>
  <c r="E40" i="20"/>
  <c r="D40" i="20"/>
  <c r="E39" i="20"/>
  <c r="D39" i="20"/>
  <c r="E38" i="20"/>
  <c r="D38" i="20"/>
  <c r="E37" i="20"/>
  <c r="D37" i="20"/>
  <c r="F30" i="20"/>
  <c r="E30" i="20"/>
  <c r="F29" i="20"/>
  <c r="E29" i="20"/>
  <c r="F28" i="20"/>
  <c r="E28" i="20"/>
  <c r="F27" i="20"/>
  <c r="E27" i="20"/>
  <c r="F26" i="20"/>
  <c r="E26" i="20"/>
  <c r="F25" i="20"/>
  <c r="E25" i="20"/>
  <c r="F24" i="20"/>
  <c r="E24" i="20"/>
  <c r="F23" i="20"/>
  <c r="E23" i="20"/>
  <c r="F22" i="20"/>
  <c r="E22" i="20"/>
  <c r="E21" i="20"/>
  <c r="F21" i="20" s="1"/>
  <c r="K15" i="20"/>
  <c r="G15" i="20"/>
  <c r="I15" i="20" s="1"/>
  <c r="K14" i="20"/>
  <c r="G14" i="20"/>
  <c r="I14" i="20" s="1"/>
  <c r="K13" i="20"/>
  <c r="G13" i="20"/>
  <c r="I13" i="20" s="1"/>
  <c r="K12" i="20"/>
  <c r="G12" i="20"/>
  <c r="I12" i="20" s="1"/>
  <c r="K11" i="20"/>
  <c r="G11" i="20"/>
  <c r="I11" i="20" s="1"/>
  <c r="K10" i="20"/>
  <c r="G10" i="20"/>
  <c r="I10" i="20" s="1"/>
  <c r="K9" i="20"/>
  <c r="G9" i="20"/>
  <c r="I9" i="20" s="1"/>
  <c r="K8" i="20"/>
  <c r="G8" i="20"/>
  <c r="I8" i="20" s="1"/>
  <c r="K7" i="20"/>
  <c r="G7" i="20"/>
  <c r="K6" i="20"/>
  <c r="G6" i="20"/>
  <c r="E46" i="19"/>
  <c r="D46" i="19"/>
  <c r="E45" i="19"/>
  <c r="D45" i="19"/>
  <c r="E44" i="19"/>
  <c r="D44" i="19"/>
  <c r="E43" i="19"/>
  <c r="D43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F30" i="19"/>
  <c r="E30" i="19"/>
  <c r="F29" i="19"/>
  <c r="E29" i="19"/>
  <c r="F28" i="19"/>
  <c r="E28" i="19"/>
  <c r="F27" i="19"/>
  <c r="E27" i="19"/>
  <c r="E26" i="19"/>
  <c r="F26" i="19" s="1"/>
  <c r="E25" i="19"/>
  <c r="F25" i="19" s="1"/>
  <c r="E24" i="19"/>
  <c r="F24" i="19" s="1"/>
  <c r="F23" i="19"/>
  <c r="E23" i="19"/>
  <c r="E22" i="19"/>
  <c r="F22" i="19" s="1"/>
  <c r="K15" i="19"/>
  <c r="G15" i="19"/>
  <c r="H15" i="19" s="1"/>
  <c r="K14" i="19"/>
  <c r="G14" i="19"/>
  <c r="I14" i="19" s="1"/>
  <c r="K13" i="19"/>
  <c r="I13" i="19"/>
  <c r="G13" i="19"/>
  <c r="H13" i="19" s="1"/>
  <c r="K12" i="19"/>
  <c r="G12" i="19"/>
  <c r="I12" i="19" s="1"/>
  <c r="K11" i="19"/>
  <c r="G11" i="19"/>
  <c r="H11" i="19" s="1"/>
  <c r="I11" i="19" s="1"/>
  <c r="K10" i="19"/>
  <c r="G10" i="19"/>
  <c r="K9" i="19"/>
  <c r="G9" i="19"/>
  <c r="H9" i="19" s="1"/>
  <c r="I9" i="19" s="1"/>
  <c r="K8" i="19"/>
  <c r="G8" i="19"/>
  <c r="G7" i="19"/>
  <c r="G6" i="19"/>
  <c r="E46" i="18"/>
  <c r="D46" i="18"/>
  <c r="E45" i="18"/>
  <c r="D45" i="18"/>
  <c r="E44" i="18"/>
  <c r="D44" i="18"/>
  <c r="E43" i="18"/>
  <c r="D43" i="18"/>
  <c r="E42" i="18"/>
  <c r="D42" i="18"/>
  <c r="E41" i="18"/>
  <c r="D41" i="18"/>
  <c r="E40" i="18"/>
  <c r="D40" i="18"/>
  <c r="E39" i="18"/>
  <c r="D39" i="18"/>
  <c r="E38" i="18"/>
  <c r="D38" i="18"/>
  <c r="E37" i="18"/>
  <c r="D37" i="18"/>
  <c r="F30" i="18"/>
  <c r="E30" i="18"/>
  <c r="F29" i="18"/>
  <c r="E29" i="18"/>
  <c r="F28" i="18"/>
  <c r="E28" i="18"/>
  <c r="K15" i="18"/>
  <c r="I15" i="18"/>
  <c r="H15" i="18"/>
  <c r="G15" i="18"/>
  <c r="K14" i="18"/>
  <c r="G14" i="18"/>
  <c r="I14" i="18" s="1"/>
  <c r="K13" i="18"/>
  <c r="I13" i="18"/>
  <c r="H13" i="18"/>
  <c r="G13" i="18"/>
  <c r="K12" i="18"/>
  <c r="G12" i="18"/>
  <c r="I12" i="18" s="1"/>
  <c r="G11" i="18"/>
  <c r="G10" i="18"/>
  <c r="G9" i="18"/>
  <c r="G8" i="18"/>
  <c r="G7" i="18"/>
  <c r="G6" i="18"/>
  <c r="F29" i="17"/>
  <c r="F30" i="17"/>
  <c r="G7" i="17"/>
  <c r="G8" i="17"/>
  <c r="G9" i="17"/>
  <c r="G10" i="17"/>
  <c r="G11" i="17"/>
  <c r="G12" i="17"/>
  <c r="G13" i="17"/>
  <c r="G14" i="17"/>
  <c r="I14" i="17" s="1"/>
  <c r="G15" i="17"/>
  <c r="I15" i="17" s="1"/>
  <c r="G6" i="17"/>
  <c r="F11" i="5"/>
  <c r="E46" i="17"/>
  <c r="D46" i="17"/>
  <c r="E45" i="17"/>
  <c r="D45" i="17"/>
  <c r="E44" i="17"/>
  <c r="D44" i="17"/>
  <c r="E43" i="17"/>
  <c r="D43" i="17"/>
  <c r="E42" i="17"/>
  <c r="D42" i="17"/>
  <c r="E41" i="17"/>
  <c r="D41" i="17"/>
  <c r="E40" i="17"/>
  <c r="D40" i="17"/>
  <c r="E39" i="17"/>
  <c r="D39" i="17"/>
  <c r="E38" i="17"/>
  <c r="D38" i="17"/>
  <c r="E37" i="17"/>
  <c r="D37" i="17"/>
  <c r="E30" i="17"/>
  <c r="E29" i="17"/>
  <c r="E28" i="17"/>
  <c r="F28" i="17" s="1"/>
  <c r="K15" i="17"/>
  <c r="K14" i="17"/>
  <c r="K13" i="17"/>
  <c r="I13" i="17"/>
  <c r="G47" i="5"/>
  <c r="E22" i="29" s="1"/>
  <c r="F22" i="29" s="1"/>
  <c r="G48" i="5"/>
  <c r="E26" i="18" s="1"/>
  <c r="F26" i="18" s="1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D25" i="13"/>
  <c r="D26" i="13"/>
  <c r="D27" i="13"/>
  <c r="D28" i="13"/>
  <c r="D29" i="13"/>
  <c r="D30" i="13"/>
  <c r="F46" i="5"/>
  <c r="G46" i="5" s="1"/>
  <c r="J10" i="13"/>
  <c r="J11" i="13"/>
  <c r="J12" i="13"/>
  <c r="J13" i="13"/>
  <c r="J14" i="13"/>
  <c r="J15" i="13"/>
  <c r="E21" i="30" l="1"/>
  <c r="F21" i="30" s="1"/>
  <c r="F31" i="30" s="1"/>
  <c r="C51" i="30" s="1"/>
  <c r="E22" i="28"/>
  <c r="F22" i="28" s="1"/>
  <c r="H9" i="30"/>
  <c r="H14" i="30"/>
  <c r="I9" i="22"/>
  <c r="I11" i="25"/>
  <c r="E23" i="21"/>
  <c r="F23" i="21" s="1"/>
  <c r="H15" i="30"/>
  <c r="I15" i="19"/>
  <c r="I13" i="22"/>
  <c r="I15" i="25"/>
  <c r="I13" i="29"/>
  <c r="K8" i="38"/>
  <c r="K6" i="38"/>
  <c r="K6" i="61"/>
  <c r="K6" i="45"/>
  <c r="K6" i="43"/>
  <c r="K7" i="43"/>
  <c r="E21" i="29"/>
  <c r="F21" i="29" s="1"/>
  <c r="E26" i="17"/>
  <c r="F26" i="17" s="1"/>
  <c r="E23" i="33"/>
  <c r="F23" i="33" s="1"/>
  <c r="E21" i="40"/>
  <c r="F21" i="40" s="1"/>
  <c r="F31" i="40" s="1"/>
  <c r="C51" i="40" s="1"/>
  <c r="E21" i="42"/>
  <c r="F21" i="42" s="1"/>
  <c r="E21" i="39"/>
  <c r="F21" i="39" s="1"/>
  <c r="E21" i="41"/>
  <c r="F21" i="41" s="1"/>
  <c r="E21" i="31"/>
  <c r="F21" i="31" s="1"/>
  <c r="F31" i="31" s="1"/>
  <c r="C51" i="31" s="1"/>
  <c r="E23" i="32"/>
  <c r="F23" i="32" s="1"/>
  <c r="D23" i="13"/>
  <c r="E47" i="30"/>
  <c r="H7" i="30"/>
  <c r="H10" i="30"/>
  <c r="H8" i="30"/>
  <c r="I6" i="30"/>
  <c r="I16" i="30" s="1"/>
  <c r="C50" i="30" s="1"/>
  <c r="F31" i="23"/>
  <c r="C51" i="23" s="1"/>
  <c r="F31" i="25"/>
  <c r="C51" i="25" s="1"/>
  <c r="F31" i="26"/>
  <c r="C51" i="26" s="1"/>
  <c r="F31" i="29"/>
  <c r="C51" i="29" s="1"/>
  <c r="F31" i="22"/>
  <c r="C51" i="22" s="1"/>
  <c r="F31" i="27"/>
  <c r="C51" i="27" s="1"/>
  <c r="F31" i="20"/>
  <c r="F31" i="24"/>
  <c r="C51" i="24" s="1"/>
  <c r="E47" i="21"/>
  <c r="C52" i="21" s="1"/>
  <c r="E47" i="22"/>
  <c r="C52" i="22" s="1"/>
  <c r="E47" i="24"/>
  <c r="C52" i="24" s="1"/>
  <c r="E47" i="25"/>
  <c r="C52" i="25" s="1"/>
  <c r="E47" i="27"/>
  <c r="C52" i="27" s="1"/>
  <c r="E47" i="26"/>
  <c r="C52" i="26" s="1"/>
  <c r="E47" i="29"/>
  <c r="E47" i="19"/>
  <c r="C52" i="19" s="1"/>
  <c r="E47" i="18"/>
  <c r="E47" i="23"/>
  <c r="C52" i="23" s="1"/>
  <c r="E47" i="20"/>
  <c r="H8" i="29"/>
  <c r="I8" i="29" s="1"/>
  <c r="H12" i="29"/>
  <c r="H14" i="29"/>
  <c r="H7" i="28"/>
  <c r="H9" i="28"/>
  <c r="H11" i="28"/>
  <c r="H13" i="28"/>
  <c r="H15" i="28"/>
  <c r="H8" i="28"/>
  <c r="H12" i="28"/>
  <c r="H14" i="28"/>
  <c r="H10" i="28"/>
  <c r="H7" i="27"/>
  <c r="H9" i="27"/>
  <c r="H11" i="27"/>
  <c r="H13" i="27"/>
  <c r="H15" i="27"/>
  <c r="H8" i="27"/>
  <c r="H10" i="27"/>
  <c r="H12" i="27"/>
  <c r="H14" i="27"/>
  <c r="H13" i="26"/>
  <c r="H11" i="26"/>
  <c r="H8" i="26"/>
  <c r="H10" i="26"/>
  <c r="H12" i="26"/>
  <c r="H14" i="26"/>
  <c r="H9" i="26"/>
  <c r="H15" i="26"/>
  <c r="H8" i="25"/>
  <c r="I8" i="25" s="1"/>
  <c r="H10" i="25"/>
  <c r="H14" i="25"/>
  <c r="H12" i="25"/>
  <c r="H9" i="24"/>
  <c r="H11" i="24"/>
  <c r="H13" i="24"/>
  <c r="H15" i="24"/>
  <c r="H10" i="24"/>
  <c r="H14" i="24"/>
  <c r="H12" i="24"/>
  <c r="H7" i="23"/>
  <c r="I7" i="23" s="1"/>
  <c r="H9" i="23"/>
  <c r="H11" i="23"/>
  <c r="H13" i="23"/>
  <c r="H15" i="23"/>
  <c r="H10" i="23"/>
  <c r="H14" i="23"/>
  <c r="H8" i="23"/>
  <c r="I8" i="23" s="1"/>
  <c r="H12" i="23"/>
  <c r="H10" i="22"/>
  <c r="H8" i="22"/>
  <c r="H12" i="22"/>
  <c r="H14" i="22"/>
  <c r="H15" i="21"/>
  <c r="I13" i="21"/>
  <c r="H11" i="21"/>
  <c r="H14" i="21"/>
  <c r="H10" i="21"/>
  <c r="I10" i="21" s="1"/>
  <c r="H12" i="21"/>
  <c r="H7" i="20"/>
  <c r="I7" i="20" s="1"/>
  <c r="H9" i="20"/>
  <c r="H11" i="20"/>
  <c r="H13" i="20"/>
  <c r="H15" i="20"/>
  <c r="H6" i="20"/>
  <c r="I6" i="20" s="1"/>
  <c r="H8" i="20"/>
  <c r="H10" i="20"/>
  <c r="H12" i="20"/>
  <c r="H14" i="20"/>
  <c r="H12" i="19"/>
  <c r="H8" i="19"/>
  <c r="I8" i="19" s="1"/>
  <c r="H10" i="19"/>
  <c r="I10" i="19" s="1"/>
  <c r="H14" i="19"/>
  <c r="H12" i="18"/>
  <c r="H14" i="18"/>
  <c r="E47" i="17"/>
  <c r="C52" i="17" s="1"/>
  <c r="H15" i="17"/>
  <c r="H13" i="17"/>
  <c r="H14" i="17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4" i="5"/>
  <c r="G25" i="5"/>
  <c r="G26" i="5"/>
  <c r="G34" i="5"/>
  <c r="G36" i="5"/>
  <c r="G37" i="5"/>
  <c r="G38" i="5"/>
  <c r="G39" i="5"/>
  <c r="G41" i="5"/>
  <c r="G42" i="5"/>
  <c r="G43" i="5"/>
  <c r="E22" i="32" s="1"/>
  <c r="F22" i="32" s="1"/>
  <c r="G44" i="5"/>
  <c r="G8" i="5"/>
  <c r="I13" i="2"/>
  <c r="I14" i="2"/>
  <c r="I15" i="2"/>
  <c r="I16" i="2"/>
  <c r="I19" i="2"/>
  <c r="I20" i="2"/>
  <c r="I23" i="2"/>
  <c r="H12" i="17" s="1"/>
  <c r="I12" i="17" s="1"/>
  <c r="I24" i="2"/>
  <c r="I25" i="2"/>
  <c r="I26" i="2"/>
  <c r="I27" i="2"/>
  <c r="I28" i="2"/>
  <c r="I29" i="2"/>
  <c r="I30" i="2"/>
  <c r="H7" i="21" s="1"/>
  <c r="I7" i="21" s="1"/>
  <c r="I33" i="2"/>
  <c r="I34" i="2"/>
  <c r="I36" i="2"/>
  <c r="I38" i="2"/>
  <c r="I40" i="2"/>
  <c r="I42" i="2"/>
  <c r="I43" i="2"/>
  <c r="I48" i="2"/>
  <c r="I50" i="2"/>
  <c r="I51" i="2"/>
  <c r="I52" i="2"/>
  <c r="I53" i="2"/>
  <c r="I54" i="2"/>
  <c r="I55" i="2"/>
  <c r="I56" i="2"/>
  <c r="I57" i="2"/>
  <c r="I58" i="2"/>
  <c r="I59" i="2"/>
  <c r="I63" i="2"/>
  <c r="I64" i="2"/>
  <c r="H9" i="42" s="1"/>
  <c r="I9" i="42" s="1"/>
  <c r="I65" i="2"/>
  <c r="I67" i="2"/>
  <c r="H7" i="42" s="1"/>
  <c r="I7" i="42" s="1"/>
  <c r="I68" i="2"/>
  <c r="H10" i="38" s="1"/>
  <c r="I10" i="38" s="1"/>
  <c r="I70" i="2"/>
  <c r="I71" i="2"/>
  <c r="I74" i="2"/>
  <c r="I77" i="2"/>
  <c r="I78" i="2"/>
  <c r="I79" i="2"/>
  <c r="I80" i="2"/>
  <c r="I82" i="2"/>
  <c r="I85" i="2"/>
  <c r="I86" i="2"/>
  <c r="I91" i="2"/>
  <c r="I92" i="2"/>
  <c r="I93" i="2"/>
  <c r="I94" i="2"/>
  <c r="H7" i="38" s="1"/>
  <c r="I7" i="38" s="1"/>
  <c r="I95" i="2"/>
  <c r="I96" i="2"/>
  <c r="I97" i="2"/>
  <c r="I98" i="2"/>
  <c r="I99" i="2"/>
  <c r="I100" i="2"/>
  <c r="H6" i="31" s="1"/>
  <c r="I6" i="31" s="1"/>
  <c r="I16" i="31" s="1"/>
  <c r="C50" i="31" s="1"/>
  <c r="I107" i="2"/>
  <c r="H6" i="32" s="1"/>
  <c r="I6" i="32" s="1"/>
  <c r="I16" i="32" s="1"/>
  <c r="C50" i="32" s="1"/>
  <c r="I108" i="2"/>
  <c r="I109" i="2"/>
  <c r="I110" i="2"/>
  <c r="I112" i="2"/>
  <c r="I116" i="2"/>
  <c r="I118" i="2"/>
  <c r="I119" i="2"/>
  <c r="I120" i="2"/>
  <c r="I122" i="2"/>
  <c r="I123" i="2"/>
  <c r="I124" i="2"/>
  <c r="I126" i="2"/>
  <c r="I128" i="2"/>
  <c r="H6" i="18" s="1"/>
  <c r="I6" i="18" s="1"/>
  <c r="I129" i="2"/>
  <c r="H7" i="29" s="1"/>
  <c r="I7" i="29" s="1"/>
  <c r="I133" i="2"/>
  <c r="I134" i="2"/>
  <c r="I136" i="2"/>
  <c r="I137" i="2"/>
  <c r="I138" i="2"/>
  <c r="I139" i="2"/>
  <c r="I140" i="2"/>
  <c r="I141" i="2"/>
  <c r="I143" i="2"/>
  <c r="H11" i="38" s="1"/>
  <c r="I11" i="38" s="1"/>
  <c r="I144" i="2"/>
  <c r="I145" i="2"/>
  <c r="I149" i="2"/>
  <c r="I151" i="2"/>
  <c r="I152" i="2"/>
  <c r="H10" i="18" s="1"/>
  <c r="I10" i="18" s="1"/>
  <c r="I153" i="2"/>
  <c r="I154" i="2"/>
  <c r="H9" i="38" s="1"/>
  <c r="I9" i="38" s="1"/>
  <c r="I156" i="2"/>
  <c r="H7" i="41" s="1"/>
  <c r="I7" i="41" s="1"/>
  <c r="I157" i="2"/>
  <c r="I158" i="2"/>
  <c r="H6" i="37" s="1"/>
  <c r="I6" i="37" s="1"/>
  <c r="I159" i="2"/>
  <c r="H8" i="43" s="1"/>
  <c r="I8" i="43" s="1"/>
  <c r="I160" i="2"/>
  <c r="I162" i="2"/>
  <c r="I163" i="2"/>
  <c r="I164" i="2"/>
  <c r="I165" i="2"/>
  <c r="I166" i="2"/>
  <c r="I167" i="2"/>
  <c r="I169" i="2"/>
  <c r="H6" i="61" s="1"/>
  <c r="I6" i="61" s="1"/>
  <c r="I16" i="61" s="1"/>
  <c r="F45" i="5"/>
  <c r="G45" i="5" s="1"/>
  <c r="F40" i="5"/>
  <c r="G40" i="5" s="1"/>
  <c r="F35" i="5"/>
  <c r="G35" i="5" s="1"/>
  <c r="D33" i="5"/>
  <c r="F33" i="5" s="1"/>
  <c r="G33" i="5" s="1"/>
  <c r="F32" i="5"/>
  <c r="G32" i="5" s="1"/>
  <c r="F31" i="5"/>
  <c r="G31" i="5" s="1"/>
  <c r="F30" i="5"/>
  <c r="G30" i="5" s="1"/>
  <c r="F29" i="5"/>
  <c r="G29" i="5" s="1"/>
  <c r="F28" i="5"/>
  <c r="G28" i="5" s="1"/>
  <c r="F27" i="5"/>
  <c r="G27" i="5" s="1"/>
  <c r="F23" i="5"/>
  <c r="G23" i="5" s="1"/>
  <c r="D21" i="5"/>
  <c r="G172" i="2"/>
  <c r="I172" i="2" s="1"/>
  <c r="H7" i="25" s="1"/>
  <c r="I7" i="25" s="1"/>
  <c r="F171" i="2"/>
  <c r="G171" i="2" s="1"/>
  <c r="I171" i="2" s="1"/>
  <c r="K7" i="19"/>
  <c r="G168" i="2"/>
  <c r="F168" i="2" s="1"/>
  <c r="K6" i="21"/>
  <c r="J6" i="13"/>
  <c r="F158" i="2"/>
  <c r="G155" i="2"/>
  <c r="I155" i="2" s="1"/>
  <c r="H7" i="40" s="1"/>
  <c r="I7" i="40" s="1"/>
  <c r="G150" i="2"/>
  <c r="I150" i="2" s="1"/>
  <c r="K6" i="23"/>
  <c r="I148" i="2"/>
  <c r="H6" i="23" s="1"/>
  <c r="I6" i="23" s="1"/>
  <c r="G147" i="2"/>
  <c r="F147" i="2" s="1"/>
  <c r="G146" i="2"/>
  <c r="I146" i="2" s="1"/>
  <c r="G142" i="2"/>
  <c r="I142" i="2" s="1"/>
  <c r="G135" i="2"/>
  <c r="I135" i="2" s="1"/>
  <c r="H7" i="33" s="1"/>
  <c r="I7" i="33" s="1"/>
  <c r="I16" i="33" s="1"/>
  <c r="C50" i="33" s="1"/>
  <c r="G132" i="2"/>
  <c r="I132" i="2" s="1"/>
  <c r="F131" i="2"/>
  <c r="G131" i="2" s="1"/>
  <c r="I131" i="2" s="1"/>
  <c r="G127" i="2"/>
  <c r="I127" i="2" s="1"/>
  <c r="H6" i="25" s="1"/>
  <c r="I6" i="25" s="1"/>
  <c r="K126" i="2"/>
  <c r="K125" i="2"/>
  <c r="K8" i="21" s="1"/>
  <c r="G125" i="2"/>
  <c r="I125" i="2" s="1"/>
  <c r="H8" i="21" s="1"/>
  <c r="I8" i="21" s="1"/>
  <c r="K124" i="2"/>
  <c r="K123" i="2"/>
  <c r="K122" i="2"/>
  <c r="K121" i="2"/>
  <c r="G121" i="2"/>
  <c r="I121" i="2" s="1"/>
  <c r="K120" i="2"/>
  <c r="K119" i="2"/>
  <c r="K118" i="2"/>
  <c r="K117" i="2"/>
  <c r="G117" i="2"/>
  <c r="I117" i="2" s="1"/>
  <c r="K116" i="2"/>
  <c r="K115" i="2"/>
  <c r="G115" i="2"/>
  <c r="I115" i="2" s="1"/>
  <c r="K114" i="2"/>
  <c r="G114" i="2"/>
  <c r="I114" i="2" s="1"/>
  <c r="K113" i="2"/>
  <c r="F113" i="2"/>
  <c r="G113" i="2" s="1"/>
  <c r="I113" i="2" s="1"/>
  <c r="K112" i="2"/>
  <c r="K111" i="2"/>
  <c r="G111" i="2"/>
  <c r="I111" i="2" s="1"/>
  <c r="K110" i="2"/>
  <c r="K109" i="2"/>
  <c r="K108" i="2"/>
  <c r="K107" i="2"/>
  <c r="K6" i="32" s="1"/>
  <c r="K106" i="2"/>
  <c r="G106" i="2"/>
  <c r="I106" i="2" s="1"/>
  <c r="E38" i="52" s="1"/>
  <c r="K105" i="2"/>
  <c r="G105" i="2"/>
  <c r="I105" i="2" s="1"/>
  <c r="K104" i="2"/>
  <c r="K9" i="29" s="1"/>
  <c r="I104" i="2"/>
  <c r="H9" i="29" s="1"/>
  <c r="I9" i="29" s="1"/>
  <c r="K103" i="2"/>
  <c r="G103" i="2"/>
  <c r="I103" i="2" s="1"/>
  <c r="K102" i="2"/>
  <c r="G102" i="2"/>
  <c r="I102" i="2" s="1"/>
  <c r="K101" i="2"/>
  <c r="G101" i="2"/>
  <c r="I101" i="2" s="1"/>
  <c r="H8" i="18" s="1"/>
  <c r="I8" i="18" s="1"/>
  <c r="K99" i="2"/>
  <c r="K98" i="2"/>
  <c r="K97" i="2"/>
  <c r="K96" i="2"/>
  <c r="K95" i="2"/>
  <c r="F95" i="2"/>
  <c r="K94" i="2"/>
  <c r="K7" i="38" s="1"/>
  <c r="K93" i="2"/>
  <c r="K92" i="2"/>
  <c r="K91" i="2"/>
  <c r="F91" i="2"/>
  <c r="K90" i="2"/>
  <c r="G90" i="2"/>
  <c r="I90" i="2" s="1"/>
  <c r="K89" i="2"/>
  <c r="F89" i="2"/>
  <c r="G89" i="2" s="1"/>
  <c r="I89" i="2" s="1"/>
  <c r="K88" i="2"/>
  <c r="G88" i="2"/>
  <c r="I88" i="2" s="1"/>
  <c r="K87" i="2"/>
  <c r="G87" i="2"/>
  <c r="I87" i="2" s="1"/>
  <c r="K86" i="2"/>
  <c r="K85" i="2"/>
  <c r="K84" i="2"/>
  <c r="F84" i="2"/>
  <c r="G84" i="2" s="1"/>
  <c r="I84" i="2" s="1"/>
  <c r="K83" i="2"/>
  <c r="G83" i="2"/>
  <c r="I83" i="2" s="1"/>
  <c r="H9" i="21" s="1"/>
  <c r="I9" i="21" s="1"/>
  <c r="K82" i="2"/>
  <c r="K81" i="2"/>
  <c r="G81" i="2"/>
  <c r="I81" i="2" s="1"/>
  <c r="K80" i="2"/>
  <c r="K79" i="2"/>
  <c r="K78" i="2"/>
  <c r="K77" i="2"/>
  <c r="K76" i="2"/>
  <c r="G76" i="2"/>
  <c r="I76" i="2" s="1"/>
  <c r="K75" i="2"/>
  <c r="G75" i="2"/>
  <c r="I75" i="2" s="1"/>
  <c r="K74" i="2"/>
  <c r="K73" i="2"/>
  <c r="F73" i="2"/>
  <c r="G73" i="2" s="1"/>
  <c r="I73" i="2" s="1"/>
  <c r="K72" i="2"/>
  <c r="G72" i="2"/>
  <c r="I72" i="2" s="1"/>
  <c r="K71" i="2"/>
  <c r="K70" i="2"/>
  <c r="K69" i="2"/>
  <c r="G69" i="2"/>
  <c r="I69" i="2" s="1"/>
  <c r="K68" i="2"/>
  <c r="K10" i="38" s="1"/>
  <c r="K67" i="2"/>
  <c r="K7" i="42" s="1"/>
  <c r="K66" i="2"/>
  <c r="G66" i="2"/>
  <c r="I66" i="2" s="1"/>
  <c r="K65" i="2"/>
  <c r="K64" i="2"/>
  <c r="K9" i="42" s="1"/>
  <c r="K63" i="2"/>
  <c r="K62" i="2"/>
  <c r="G62" i="2"/>
  <c r="I62" i="2" s="1"/>
  <c r="K61" i="2"/>
  <c r="G61" i="2"/>
  <c r="I61" i="2" s="1"/>
  <c r="K60" i="2"/>
  <c r="G60" i="2"/>
  <c r="I60" i="2" s="1"/>
  <c r="K59" i="2"/>
  <c r="K58" i="2"/>
  <c r="K57" i="2"/>
  <c r="K56" i="2"/>
  <c r="K55" i="2"/>
  <c r="F55" i="2"/>
  <c r="K54" i="2"/>
  <c r="K53" i="2"/>
  <c r="K52" i="2"/>
  <c r="K51" i="2"/>
  <c r="K50" i="2"/>
  <c r="K49" i="2"/>
  <c r="G49" i="2"/>
  <c r="I49" i="2" s="1"/>
  <c r="K48" i="2"/>
  <c r="K47" i="2"/>
  <c r="G47" i="2"/>
  <c r="I47" i="2" s="1"/>
  <c r="K46" i="2"/>
  <c r="G46" i="2"/>
  <c r="I46" i="2" s="1"/>
  <c r="K45" i="2"/>
  <c r="F45" i="2"/>
  <c r="G45" i="2" s="1"/>
  <c r="I45" i="2" s="1"/>
  <c r="K44" i="2"/>
  <c r="G44" i="2"/>
  <c r="I44" i="2" s="1"/>
  <c r="K43" i="2"/>
  <c r="K42" i="2"/>
  <c r="K41" i="2"/>
  <c r="G41" i="2"/>
  <c r="I41" i="2" s="1"/>
  <c r="K40" i="2"/>
  <c r="K39" i="2"/>
  <c r="K8" i="42" s="1"/>
  <c r="G39" i="2"/>
  <c r="I39" i="2" s="1"/>
  <c r="H8" i="42" s="1"/>
  <c r="I8" i="42" s="1"/>
  <c r="K38" i="2"/>
  <c r="K37" i="2"/>
  <c r="G37" i="2"/>
  <c r="I37" i="2" s="1"/>
  <c r="K36" i="2"/>
  <c r="K35" i="2"/>
  <c r="G35" i="2"/>
  <c r="I35" i="2" s="1"/>
  <c r="K34" i="2"/>
  <c r="K33" i="2"/>
  <c r="K32" i="2"/>
  <c r="G32" i="2"/>
  <c r="I32" i="2" s="1"/>
  <c r="K31" i="2"/>
  <c r="G31" i="2"/>
  <c r="I31" i="2" s="1"/>
  <c r="K30" i="2"/>
  <c r="K29" i="2"/>
  <c r="K28" i="2"/>
  <c r="K27" i="2"/>
  <c r="K26" i="2"/>
  <c r="K25" i="2"/>
  <c r="K24" i="2"/>
  <c r="K23" i="2"/>
  <c r="K12" i="17" s="1"/>
  <c r="K22" i="2"/>
  <c r="I22" i="2"/>
  <c r="H6" i="22" s="1"/>
  <c r="I6" i="22" s="1"/>
  <c r="K21" i="2"/>
  <c r="I21" i="2"/>
  <c r="K20" i="2"/>
  <c r="K19" i="2"/>
  <c r="K18" i="2"/>
  <c r="G18" i="2"/>
  <c r="I18" i="2" s="1"/>
  <c r="K17" i="2"/>
  <c r="G17" i="2"/>
  <c r="I17" i="2" s="1"/>
  <c r="K16" i="2"/>
  <c r="K15" i="2"/>
  <c r="K14" i="2"/>
  <c r="K13" i="2"/>
  <c r="K12" i="2"/>
  <c r="G12" i="2"/>
  <c r="I12" i="2" s="1"/>
  <c r="K11" i="2"/>
  <c r="F11" i="2"/>
  <c r="I11" i="2" s="1"/>
  <c r="H6" i="28" s="1"/>
  <c r="K10" i="2"/>
  <c r="G10" i="2"/>
  <c r="I10" i="2" s="1"/>
  <c r="E22" i="39" l="1"/>
  <c r="F22" i="39" s="1"/>
  <c r="E24" i="21"/>
  <c r="F24" i="21" s="1"/>
  <c r="J8" i="13"/>
  <c r="J9" i="13"/>
  <c r="E22" i="41"/>
  <c r="F22" i="41" s="1"/>
  <c r="E21" i="28"/>
  <c r="F21" i="28" s="1"/>
  <c r="F31" i="28" s="1"/>
  <c r="C51" i="28" s="1"/>
  <c r="E56" i="52"/>
  <c r="F33" i="47"/>
  <c r="C53" i="30"/>
  <c r="E14" i="52" s="1"/>
  <c r="F31" i="39"/>
  <c r="C51" i="39" s="1"/>
  <c r="K6" i="44"/>
  <c r="K6" i="36"/>
  <c r="H6" i="27"/>
  <c r="I6" i="27" s="1"/>
  <c r="I16" i="27" s="1"/>
  <c r="C50" i="27" s="1"/>
  <c r="H7" i="26"/>
  <c r="I7" i="26" s="1"/>
  <c r="K11" i="42"/>
  <c r="K7" i="37"/>
  <c r="K10" i="42"/>
  <c r="K7" i="34"/>
  <c r="K7" i="35"/>
  <c r="K6" i="40"/>
  <c r="K8" i="40"/>
  <c r="K6" i="41"/>
  <c r="K12" i="42"/>
  <c r="K6" i="27"/>
  <c r="K7" i="44"/>
  <c r="K6" i="35"/>
  <c r="K6" i="34"/>
  <c r="E21" i="44"/>
  <c r="F21" i="44" s="1"/>
  <c r="F31" i="44" s="1"/>
  <c r="C51" i="44" s="1"/>
  <c r="E24" i="42"/>
  <c r="F24" i="42" s="1"/>
  <c r="E21" i="33"/>
  <c r="F21" i="33" s="1"/>
  <c r="E21" i="17"/>
  <c r="F21" i="17" s="1"/>
  <c r="E21" i="19"/>
  <c r="F21" i="19" s="1"/>
  <c r="F31" i="19" s="1"/>
  <c r="C51" i="19" s="1"/>
  <c r="D24" i="13"/>
  <c r="E21" i="18"/>
  <c r="F21" i="18" s="1"/>
  <c r="E23" i="42"/>
  <c r="F23" i="42" s="1"/>
  <c r="E22" i="38"/>
  <c r="F22" i="38" s="1"/>
  <c r="D22" i="13"/>
  <c r="E22" i="17"/>
  <c r="F22" i="17" s="1"/>
  <c r="E22" i="18"/>
  <c r="F22" i="18" s="1"/>
  <c r="E21" i="21"/>
  <c r="F21" i="21" s="1"/>
  <c r="F31" i="41"/>
  <c r="C51" i="41" s="1"/>
  <c r="E27" i="18"/>
  <c r="F27" i="18" s="1"/>
  <c r="E27" i="17"/>
  <c r="F27" i="17" s="1"/>
  <c r="C53" i="31"/>
  <c r="E15" i="52" s="1"/>
  <c r="E25" i="18"/>
  <c r="F25" i="18" s="1"/>
  <c r="E25" i="17"/>
  <c r="F25" i="17" s="1"/>
  <c r="E24" i="17"/>
  <c r="F24" i="17" s="1"/>
  <c r="E24" i="18"/>
  <c r="F24" i="18" s="1"/>
  <c r="D21" i="13"/>
  <c r="E22" i="42"/>
  <c r="F22" i="42" s="1"/>
  <c r="E21" i="38"/>
  <c r="F21" i="38" s="1"/>
  <c r="F31" i="38" s="1"/>
  <c r="C51" i="38" s="1"/>
  <c r="E22" i="33"/>
  <c r="F22" i="33" s="1"/>
  <c r="E21" i="32"/>
  <c r="F21" i="32" s="1"/>
  <c r="F31" i="32" s="1"/>
  <c r="C51" i="32" s="1"/>
  <c r="C53" i="32" s="1"/>
  <c r="E16" i="52" s="1"/>
  <c r="E23" i="17"/>
  <c r="F23" i="17" s="1"/>
  <c r="E22" i="21"/>
  <c r="F22" i="21" s="1"/>
  <c r="E23" i="18"/>
  <c r="F23" i="18" s="1"/>
  <c r="C53" i="27"/>
  <c r="F14" i="47" s="1"/>
  <c r="H8" i="38"/>
  <c r="I8" i="38" s="1"/>
  <c r="H6" i="38"/>
  <c r="I6" i="38" s="1"/>
  <c r="H7" i="44"/>
  <c r="I7" i="44" s="1"/>
  <c r="H6" i="35"/>
  <c r="I6" i="35" s="1"/>
  <c r="H6" i="34"/>
  <c r="I6" i="34" s="1"/>
  <c r="H7" i="37"/>
  <c r="I7" i="37" s="1"/>
  <c r="I16" i="37" s="1"/>
  <c r="C50" i="37" s="1"/>
  <c r="C53" i="37" s="1"/>
  <c r="E22" i="52" s="1"/>
  <c r="H11" i="42"/>
  <c r="I11" i="42" s="1"/>
  <c r="H10" i="42"/>
  <c r="I10" i="42" s="1"/>
  <c r="H12" i="42"/>
  <c r="I12" i="42" s="1"/>
  <c r="H6" i="41"/>
  <c r="I6" i="41" s="1"/>
  <c r="I16" i="41" s="1"/>
  <c r="C50" i="41" s="1"/>
  <c r="H6" i="44"/>
  <c r="I6" i="44" s="1"/>
  <c r="I16" i="44" s="1"/>
  <c r="C50" i="44" s="1"/>
  <c r="H6" i="36"/>
  <c r="I6" i="36" s="1"/>
  <c r="I16" i="36" s="1"/>
  <c r="C50" i="36" s="1"/>
  <c r="C53" i="36" s="1"/>
  <c r="E19" i="52" s="1"/>
  <c r="H7" i="34"/>
  <c r="I7" i="34" s="1"/>
  <c r="H7" i="35"/>
  <c r="I7" i="35" s="1"/>
  <c r="H7" i="19"/>
  <c r="I7" i="19" s="1"/>
  <c r="H6" i="45"/>
  <c r="I6" i="45" s="1"/>
  <c r="I16" i="45" s="1"/>
  <c r="H8" i="40"/>
  <c r="I8" i="40" s="1"/>
  <c r="H6" i="40"/>
  <c r="I6" i="40" s="1"/>
  <c r="F17" i="47"/>
  <c r="H10" i="29"/>
  <c r="I10" i="29" s="1"/>
  <c r="K9" i="21"/>
  <c r="K11" i="29"/>
  <c r="H6" i="29"/>
  <c r="I6" i="29" s="1"/>
  <c r="H11" i="29"/>
  <c r="I11" i="29" s="1"/>
  <c r="K7" i="21"/>
  <c r="K10" i="29"/>
  <c r="H6" i="17"/>
  <c r="I6" i="17" s="1"/>
  <c r="I168" i="2"/>
  <c r="H6" i="24"/>
  <c r="I6" i="24" s="1"/>
  <c r="H9" i="18"/>
  <c r="I9" i="18" s="1"/>
  <c r="H9" i="17"/>
  <c r="I9" i="17" s="1"/>
  <c r="H7" i="22"/>
  <c r="I7" i="22" s="1"/>
  <c r="I16" i="22" s="1"/>
  <c r="C50" i="22" s="1"/>
  <c r="C53" i="22" s="1"/>
  <c r="E8" i="52" s="1"/>
  <c r="H7" i="24"/>
  <c r="I7" i="24" s="1"/>
  <c r="H11" i="18"/>
  <c r="I11" i="18" s="1"/>
  <c r="I6" i="28"/>
  <c r="I16" i="28" s="1"/>
  <c r="C50" i="28" s="1"/>
  <c r="H11" i="17"/>
  <c r="I11" i="17" s="1"/>
  <c r="H8" i="24"/>
  <c r="I8" i="24" s="1"/>
  <c r="H7" i="18"/>
  <c r="I7" i="18" s="1"/>
  <c r="H7" i="17"/>
  <c r="I7" i="17" s="1"/>
  <c r="K7" i="18"/>
  <c r="K7" i="17"/>
  <c r="H10" i="17"/>
  <c r="I10" i="17" s="1"/>
  <c r="H6" i="26"/>
  <c r="I6" i="26" s="1"/>
  <c r="H8" i="17"/>
  <c r="I8" i="17" s="1"/>
  <c r="K6" i="19"/>
  <c r="J7" i="13"/>
  <c r="K8" i="18"/>
  <c r="K8" i="17"/>
  <c r="K10" i="17"/>
  <c r="K10" i="18"/>
  <c r="H6" i="19"/>
  <c r="I6" i="19" s="1"/>
  <c r="I147" i="2"/>
  <c r="K7" i="22"/>
  <c r="K7" i="24"/>
  <c r="K6" i="18"/>
  <c r="K6" i="17"/>
  <c r="K9" i="18"/>
  <c r="K9" i="17"/>
  <c r="K6" i="29"/>
  <c r="K11" i="17"/>
  <c r="K11" i="18"/>
  <c r="K6" i="28"/>
  <c r="K8" i="24"/>
  <c r="K6" i="24"/>
  <c r="K6" i="22"/>
  <c r="K6" i="26"/>
  <c r="K6" i="25"/>
  <c r="I16" i="25"/>
  <c r="C50" i="25" s="1"/>
  <c r="C53" i="25" s="1"/>
  <c r="I16" i="23"/>
  <c r="C50" i="23" s="1"/>
  <c r="C53" i="23" s="1"/>
  <c r="I16" i="20"/>
  <c r="Z56" i="52" l="1"/>
  <c r="M56" i="52"/>
  <c r="AD56" i="52"/>
  <c r="AL56" i="52"/>
  <c r="AH56" i="52"/>
  <c r="Q56" i="52"/>
  <c r="I56" i="52"/>
  <c r="U56" i="52"/>
  <c r="F32" i="47"/>
  <c r="E58" i="52"/>
  <c r="I16" i="26"/>
  <c r="C50" i="26" s="1"/>
  <c r="C53" i="26" s="1"/>
  <c r="E10" i="52" s="1"/>
  <c r="I16" i="40"/>
  <c r="C50" i="40" s="1"/>
  <c r="I16" i="38"/>
  <c r="C50" i="38" s="1"/>
  <c r="G17" i="56"/>
  <c r="C17" i="56"/>
  <c r="F17" i="56"/>
  <c r="D17" i="56"/>
  <c r="E17" i="56"/>
  <c r="F31" i="42"/>
  <c r="C51" i="42" s="1"/>
  <c r="C53" i="41"/>
  <c r="E30" i="52" s="1"/>
  <c r="F31" i="18"/>
  <c r="F31" i="21"/>
  <c r="C51" i="21" s="1"/>
  <c r="F19" i="47"/>
  <c r="F18" i="47"/>
  <c r="F31" i="17"/>
  <c r="C51" i="17" s="1"/>
  <c r="F31" i="33"/>
  <c r="C51" i="33" s="1"/>
  <c r="I16" i="42"/>
  <c r="C50" i="42" s="1"/>
  <c r="F24" i="47"/>
  <c r="I16" i="34"/>
  <c r="C50" i="34" s="1"/>
  <c r="C53" i="34" s="1"/>
  <c r="I16" i="19"/>
  <c r="C50" i="19" s="1"/>
  <c r="C53" i="19" s="1"/>
  <c r="E5" i="52" s="1"/>
  <c r="F23" i="47"/>
  <c r="I16" i="35"/>
  <c r="C50" i="35" s="1"/>
  <c r="C53" i="35" s="1"/>
  <c r="F10" i="47"/>
  <c r="F13" i="47"/>
  <c r="F12" i="47"/>
  <c r="F9" i="47"/>
  <c r="I16" i="29"/>
  <c r="C50" i="29" s="1"/>
  <c r="C53" i="29" s="1"/>
  <c r="I16" i="18"/>
  <c r="I16" i="24"/>
  <c r="I16" i="17"/>
  <c r="C50" i="17" s="1"/>
  <c r="E46" i="13"/>
  <c r="D46" i="13"/>
  <c r="E45" i="13"/>
  <c r="D45" i="13"/>
  <c r="D44" i="13"/>
  <c r="E44" i="13" s="1"/>
  <c r="E30" i="13"/>
  <c r="E29" i="13"/>
  <c r="E28" i="13"/>
  <c r="E27" i="13"/>
  <c r="E26" i="13"/>
  <c r="E25" i="13"/>
  <c r="E24" i="13"/>
  <c r="E23" i="13"/>
  <c r="E22" i="13"/>
  <c r="E21" i="13"/>
  <c r="F15" i="13"/>
  <c r="G15" i="13" s="1"/>
  <c r="F14" i="13"/>
  <c r="F13" i="13"/>
  <c r="G13" i="13" s="1"/>
  <c r="F12" i="13"/>
  <c r="H11" i="13"/>
  <c r="F11" i="13"/>
  <c r="G11" i="13" s="1"/>
  <c r="F10" i="13"/>
  <c r="F9" i="13"/>
  <c r="G9" i="13" s="1"/>
  <c r="F8" i="13"/>
  <c r="F7" i="13"/>
  <c r="G7" i="13" s="1"/>
  <c r="F6" i="13"/>
  <c r="G6" i="13" s="1"/>
  <c r="I56" i="9" l="1"/>
  <c r="H56" i="9"/>
  <c r="H12" i="13"/>
  <c r="G12" i="13"/>
  <c r="I55" i="9"/>
  <c r="H55" i="9"/>
  <c r="H13" i="13"/>
  <c r="H14" i="13"/>
  <c r="G14" i="13"/>
  <c r="I58" i="9"/>
  <c r="H58" i="9"/>
  <c r="H15" i="13"/>
  <c r="I57" i="9"/>
  <c r="H57" i="9"/>
  <c r="AL58" i="52"/>
  <c r="U58" i="52"/>
  <c r="M58" i="52"/>
  <c r="AD58" i="52"/>
  <c r="I58" i="52"/>
  <c r="Q58" i="52"/>
  <c r="AH58" i="52"/>
  <c r="Z58" i="52"/>
  <c r="H10" i="13"/>
  <c r="G10" i="13"/>
  <c r="I54" i="9"/>
  <c r="H54" i="9"/>
  <c r="F28" i="47"/>
  <c r="E20" i="52"/>
  <c r="C11" i="55"/>
  <c r="C14" i="55" s="1"/>
  <c r="E12" i="52"/>
  <c r="D16" i="56"/>
  <c r="E16" i="56"/>
  <c r="G16" i="56"/>
  <c r="F16" i="56"/>
  <c r="C16" i="56"/>
  <c r="H9" i="13"/>
  <c r="C53" i="17"/>
  <c r="E4" i="52" s="1"/>
  <c r="F7" i="47"/>
  <c r="F21" i="47"/>
  <c r="F22" i="47"/>
  <c r="C50" i="24"/>
  <c r="C53" i="24" s="1"/>
  <c r="M18" i="24"/>
  <c r="F16" i="47"/>
  <c r="E31" i="13"/>
  <c r="C51" i="13" s="1"/>
  <c r="G8" i="13"/>
  <c r="H8" i="13" s="1"/>
  <c r="H6" i="13"/>
  <c r="H7" i="13"/>
  <c r="D10" i="56" l="1"/>
  <c r="D28" i="56" s="1"/>
  <c r="C10" i="56"/>
  <c r="C28" i="56" s="1"/>
  <c r="E10" i="56"/>
  <c r="E28" i="56" s="1"/>
  <c r="F10" i="56"/>
  <c r="F28" i="56" s="1"/>
  <c r="G10" i="56"/>
  <c r="G28" i="56" s="1"/>
  <c r="C8" i="57"/>
  <c r="C20" i="55"/>
  <c r="F6" i="47"/>
  <c r="F11" i="47"/>
  <c r="H16" i="13"/>
  <c r="C50" i="13" s="1"/>
  <c r="I8" i="57" l="1"/>
  <c r="G8" i="57"/>
  <c r="K8" i="57"/>
  <c r="E8" i="57"/>
  <c r="G11" i="56"/>
  <c r="C11" i="56"/>
  <c r="E11" i="56"/>
  <c r="D11" i="56"/>
  <c r="F11" i="56"/>
  <c r="D27" i="3"/>
  <c r="M8" i="57" l="1"/>
  <c r="C31" i="3"/>
  <c r="C28" i="3"/>
  <c r="C32" i="3"/>
  <c r="D20" i="3" l="1"/>
  <c r="E20" i="3"/>
  <c r="F20" i="3"/>
  <c r="G20" i="3"/>
  <c r="H20" i="3"/>
  <c r="I20" i="3"/>
  <c r="J20" i="3"/>
  <c r="K20" i="3"/>
  <c r="L20" i="3"/>
  <c r="M20" i="3"/>
  <c r="C20" i="3"/>
  <c r="D15" i="3"/>
  <c r="E15" i="3"/>
  <c r="F15" i="3"/>
  <c r="G15" i="3"/>
  <c r="H15" i="3"/>
  <c r="I15" i="3"/>
  <c r="J15" i="3"/>
  <c r="K15" i="3"/>
  <c r="L15" i="3"/>
  <c r="M15" i="3"/>
  <c r="C15" i="3"/>
  <c r="D5" i="3"/>
  <c r="E5" i="3"/>
  <c r="F5" i="3"/>
  <c r="G5" i="3"/>
  <c r="H5" i="3"/>
  <c r="I5" i="3"/>
  <c r="J5" i="3"/>
  <c r="K5" i="3"/>
  <c r="L5" i="3"/>
  <c r="M5" i="3"/>
  <c r="C5" i="3"/>
  <c r="F6" i="9"/>
  <c r="F8" i="9"/>
  <c r="F9" i="9"/>
  <c r="F13" i="9"/>
  <c r="F18" i="9"/>
  <c r="F19" i="9"/>
  <c r="F21" i="9"/>
  <c r="F22" i="9"/>
  <c r="G4" i="9"/>
  <c r="I7" i="6"/>
  <c r="I8" i="6"/>
  <c r="I10" i="6"/>
  <c r="I12" i="6"/>
  <c r="I13" i="6"/>
  <c r="I14" i="6"/>
  <c r="I15" i="6"/>
  <c r="I16" i="6"/>
  <c r="I17" i="6"/>
  <c r="I19" i="6"/>
  <c r="I20" i="6"/>
  <c r="I21" i="6"/>
  <c r="I23" i="6"/>
  <c r="I25" i="6"/>
  <c r="I30" i="6"/>
  <c r="I32" i="6"/>
  <c r="I34" i="6"/>
  <c r="I35" i="6"/>
  <c r="I36" i="6"/>
  <c r="I37" i="6"/>
  <c r="I38" i="6"/>
  <c r="I39" i="6"/>
  <c r="I41" i="6"/>
  <c r="I44" i="6"/>
  <c r="I45" i="6"/>
  <c r="I46" i="6"/>
  <c r="I6" i="6"/>
  <c r="H6" i="6"/>
  <c r="H7" i="6"/>
  <c r="H8" i="6"/>
  <c r="H9" i="6"/>
  <c r="H10" i="6"/>
  <c r="H11" i="6"/>
  <c r="H12" i="6"/>
  <c r="H13" i="6"/>
  <c r="H14" i="6"/>
  <c r="H15" i="6"/>
  <c r="H16" i="6"/>
  <c r="H17" i="6"/>
  <c r="H19" i="6"/>
  <c r="H20" i="6"/>
  <c r="H21" i="6"/>
  <c r="H23" i="6"/>
  <c r="H25" i="6"/>
  <c r="H30" i="6"/>
  <c r="H31" i="6"/>
  <c r="H32" i="6"/>
  <c r="H34" i="6"/>
  <c r="H35" i="6"/>
  <c r="H36" i="6"/>
  <c r="H37" i="6"/>
  <c r="H38" i="6"/>
  <c r="H39" i="6"/>
  <c r="H41" i="6"/>
  <c r="H45" i="6"/>
  <c r="H46" i="6"/>
  <c r="H47" i="6"/>
  <c r="E37" i="44" l="1"/>
  <c r="F37" i="44" s="1"/>
  <c r="F47" i="44" s="1"/>
  <c r="C52" i="44" s="1"/>
  <c r="C53" i="44" s="1"/>
  <c r="E37" i="40"/>
  <c r="F37" i="40" s="1"/>
  <c r="F47" i="40" s="1"/>
  <c r="C52" i="40" s="1"/>
  <c r="E37" i="39"/>
  <c r="F37" i="39" s="1"/>
  <c r="F47" i="39" s="1"/>
  <c r="C52" i="39" s="1"/>
  <c r="C53" i="39" s="1"/>
  <c r="E37" i="38"/>
  <c r="F37" i="38" s="1"/>
  <c r="F47" i="38" s="1"/>
  <c r="C52" i="38" s="1"/>
  <c r="C53" i="38" s="1"/>
  <c r="D38" i="33"/>
  <c r="E38" i="33" s="1"/>
  <c r="E37" i="42"/>
  <c r="F37" i="42" s="1"/>
  <c r="F47" i="42" s="1"/>
  <c r="C52" i="42" s="1"/>
  <c r="C53" i="42" s="1"/>
  <c r="D37" i="33"/>
  <c r="E37" i="33" s="1"/>
  <c r="E37" i="28"/>
  <c r="F37" i="28" s="1"/>
  <c r="F47" i="28" s="1"/>
  <c r="C52" i="28" s="1"/>
  <c r="C53" i="28" s="1"/>
  <c r="F50" i="9"/>
  <c r="G50" i="9" s="1"/>
  <c r="W19" i="9"/>
  <c r="F42" i="9"/>
  <c r="G42" i="9" s="1"/>
  <c r="W11" i="9"/>
  <c r="F49" i="9"/>
  <c r="G49" i="9" s="1"/>
  <c r="W18" i="9"/>
  <c r="F41" i="9"/>
  <c r="G41" i="9" s="1"/>
  <c r="W10" i="9"/>
  <c r="F48" i="9"/>
  <c r="G48" i="9" s="1"/>
  <c r="W17" i="9"/>
  <c r="F40" i="9"/>
  <c r="G40" i="9" s="1"/>
  <c r="W9" i="9"/>
  <c r="F47" i="9"/>
  <c r="G47" i="9" s="1"/>
  <c r="W16" i="9"/>
  <c r="F39" i="9"/>
  <c r="G39" i="9" s="1"/>
  <c r="W8" i="9"/>
  <c r="H4" i="9"/>
  <c r="X4" i="9"/>
  <c r="F46" i="9"/>
  <c r="G46" i="9" s="1"/>
  <c r="W15" i="9"/>
  <c r="F38" i="9"/>
  <c r="G38" i="9" s="1"/>
  <c r="W7" i="9"/>
  <c r="F30" i="9" s="1"/>
  <c r="F53" i="9"/>
  <c r="G53" i="9" s="1"/>
  <c r="W22" i="9"/>
  <c r="F45" i="9"/>
  <c r="G45" i="9" s="1"/>
  <c r="W14" i="9"/>
  <c r="F37" i="9"/>
  <c r="G37" i="9" s="1"/>
  <c r="W6" i="9"/>
  <c r="F52" i="9"/>
  <c r="G52" i="9" s="1"/>
  <c r="W21" i="9"/>
  <c r="F44" i="9"/>
  <c r="G44" i="9" s="1"/>
  <c r="W13" i="9"/>
  <c r="F36" i="9"/>
  <c r="W5" i="9"/>
  <c r="F31" i="9" s="1"/>
  <c r="G31" i="9" s="1"/>
  <c r="H31" i="9" s="1"/>
  <c r="I31" i="9" s="1"/>
  <c r="F51" i="9"/>
  <c r="G51" i="9" s="1"/>
  <c r="W20" i="9"/>
  <c r="F43" i="9"/>
  <c r="G43" i="9" s="1"/>
  <c r="W12" i="9"/>
  <c r="G8" i="9"/>
  <c r="G22" i="9"/>
  <c r="G6" i="9"/>
  <c r="G21" i="9"/>
  <c r="G19" i="9"/>
  <c r="G18" i="9"/>
  <c r="G13" i="9"/>
  <c r="G9" i="9"/>
  <c r="D42" i="13"/>
  <c r="E42" i="13" s="1"/>
  <c r="D37" i="13"/>
  <c r="E37" i="13" s="1"/>
  <c r="D41" i="13"/>
  <c r="E41" i="13" s="1"/>
  <c r="D39" i="13"/>
  <c r="E39" i="13" s="1"/>
  <c r="D40" i="13"/>
  <c r="E40" i="13" s="1"/>
  <c r="D43" i="13"/>
  <c r="E43" i="13" s="1"/>
  <c r="D38" i="13"/>
  <c r="E38" i="13" s="1"/>
  <c r="E47" i="33" l="1"/>
  <c r="C52" i="33" s="1"/>
  <c r="C53" i="33" s="1"/>
  <c r="F20" i="47" s="1"/>
  <c r="E47" i="13"/>
  <c r="C52" i="13" s="1"/>
  <c r="C53" i="13" s="1"/>
  <c r="H9" i="9"/>
  <c r="X9" i="9"/>
  <c r="H19" i="9"/>
  <c r="X19" i="9"/>
  <c r="X15" i="9"/>
  <c r="F15" i="47"/>
  <c r="E9" i="52"/>
  <c r="D6" i="50"/>
  <c r="E6" i="50"/>
  <c r="F6" i="50"/>
  <c r="C6" i="50"/>
  <c r="D17" i="49"/>
  <c r="X17" i="9"/>
  <c r="X12" i="9"/>
  <c r="H8" i="9"/>
  <c r="X8" i="9"/>
  <c r="E32" i="52"/>
  <c r="F29" i="47"/>
  <c r="X10" i="9"/>
  <c r="H21" i="9"/>
  <c r="X21" i="9"/>
  <c r="H18" i="9"/>
  <c r="X18" i="9"/>
  <c r="H6" i="9"/>
  <c r="X6" i="9"/>
  <c r="E25" i="52"/>
  <c r="F26" i="47"/>
  <c r="H13" i="9"/>
  <c r="X13" i="9"/>
  <c r="X5" i="9"/>
  <c r="X14" i="9"/>
  <c r="E24" i="52"/>
  <c r="F25" i="47"/>
  <c r="X20" i="9"/>
  <c r="X16" i="9"/>
  <c r="H22" i="9"/>
  <c r="X22" i="9"/>
  <c r="E27" i="52"/>
  <c r="C53" i="40"/>
  <c r="X11" i="9"/>
  <c r="X7" i="9"/>
  <c r="G36" i="9"/>
  <c r="F59" i="9"/>
  <c r="G59" i="9" s="1"/>
  <c r="I4" i="9"/>
  <c r="H35" i="9"/>
  <c r="E36" i="52"/>
  <c r="F31" i="47"/>
  <c r="F34" i="9"/>
  <c r="E17" i="52" l="1"/>
  <c r="I35" i="9"/>
  <c r="P35" i="4"/>
  <c r="P46" i="4"/>
  <c r="P14" i="4"/>
  <c r="P6" i="4"/>
  <c r="P8" i="4"/>
  <c r="P42" i="4"/>
  <c r="P59" i="4"/>
  <c r="P26" i="4"/>
  <c r="P38" i="4"/>
  <c r="P53" i="4"/>
  <c r="P40" i="4"/>
  <c r="P36" i="4"/>
  <c r="P47" i="4"/>
  <c r="P33" i="4"/>
  <c r="P25" i="4"/>
  <c r="P27" i="4"/>
  <c r="P43" i="4"/>
  <c r="P63" i="4"/>
  <c r="P5" i="4"/>
  <c r="P61" i="4"/>
  <c r="P34" i="4"/>
  <c r="P41" i="4"/>
  <c r="P22" i="4"/>
  <c r="P9" i="4"/>
  <c r="P65" i="4"/>
  <c r="P16" i="4"/>
  <c r="P7" i="4"/>
  <c r="P49" i="4"/>
  <c r="P51" i="4"/>
  <c r="P57" i="4"/>
  <c r="P50" i="4"/>
  <c r="P13" i="4"/>
  <c r="P23" i="4"/>
  <c r="P29" i="4"/>
  <c r="P11" i="4"/>
  <c r="P20" i="4"/>
  <c r="P18" i="4"/>
  <c r="P32" i="4"/>
  <c r="P12" i="4"/>
  <c r="P55" i="4"/>
  <c r="P45" i="4"/>
  <c r="P28" i="4"/>
  <c r="P24" i="4"/>
  <c r="P17" i="4"/>
  <c r="I43" i="9"/>
  <c r="H43" i="9"/>
  <c r="C18" i="56"/>
  <c r="F18" i="56"/>
  <c r="D18" i="56"/>
  <c r="E18" i="56"/>
  <c r="G18" i="56"/>
  <c r="H41" i="9"/>
  <c r="I22" i="9"/>
  <c r="I53" i="9" s="1"/>
  <c r="H53" i="9"/>
  <c r="I45" i="9"/>
  <c r="H45" i="9"/>
  <c r="I6" i="9"/>
  <c r="H37" i="9"/>
  <c r="I48" i="9"/>
  <c r="H48" i="9"/>
  <c r="I46" i="9"/>
  <c r="H46" i="9"/>
  <c r="I38" i="9"/>
  <c r="H38" i="9"/>
  <c r="I47" i="9"/>
  <c r="H47" i="9"/>
  <c r="H36" i="9"/>
  <c r="I18" i="9"/>
  <c r="I49" i="9" s="1"/>
  <c r="H49" i="9"/>
  <c r="I19" i="9"/>
  <c r="I50" i="9" s="1"/>
  <c r="H50" i="9"/>
  <c r="H42" i="9"/>
  <c r="I51" i="9"/>
  <c r="H51" i="9"/>
  <c r="I13" i="9"/>
  <c r="H44" i="9"/>
  <c r="I21" i="9"/>
  <c r="I52" i="9" s="1"/>
  <c r="H52" i="9"/>
  <c r="I8" i="9"/>
  <c r="H39" i="9"/>
  <c r="F27" i="47"/>
  <c r="E28" i="52"/>
  <c r="I9" i="9"/>
  <c r="H40" i="9"/>
  <c r="E3" i="52"/>
  <c r="F5" i="47"/>
  <c r="F32" i="9"/>
  <c r="G30" i="9"/>
  <c r="I40" i="9" l="1"/>
  <c r="I44" i="9"/>
  <c r="V63" i="4"/>
  <c r="V29" i="4"/>
  <c r="V49" i="4"/>
  <c r="V24" i="4"/>
  <c r="V47" i="4"/>
  <c r="V43" i="4"/>
  <c r="V13" i="4"/>
  <c r="V46" i="4"/>
  <c r="V7" i="4"/>
  <c r="V26" i="4"/>
  <c r="V50" i="4"/>
  <c r="V55" i="4"/>
  <c r="V41" i="4"/>
  <c r="V20" i="4"/>
  <c r="V59" i="4"/>
  <c r="V9" i="4"/>
  <c r="V28" i="4"/>
  <c r="V53" i="4"/>
  <c r="V36" i="4"/>
  <c r="V11" i="4"/>
  <c r="V14" i="4"/>
  <c r="V61" i="4"/>
  <c r="V27" i="4"/>
  <c r="V5" i="4"/>
  <c r="V12" i="4"/>
  <c r="V31" i="4"/>
  <c r="V57" i="4"/>
  <c r="V33" i="4"/>
  <c r="V35" i="4"/>
  <c r="V51" i="4"/>
  <c r="V16" i="4"/>
  <c r="V40" i="4"/>
  <c r="V8" i="4"/>
  <c r="V17" i="4"/>
  <c r="V22" i="4"/>
  <c r="V38" i="4"/>
  <c r="V6" i="4"/>
  <c r="V25" i="4"/>
  <c r="V18" i="4"/>
  <c r="V42" i="4"/>
  <c r="V23" i="4"/>
  <c r="V65" i="4"/>
  <c r="V34" i="4"/>
  <c r="V45" i="4"/>
  <c r="V32" i="4"/>
  <c r="I36" i="9"/>
  <c r="I41" i="9"/>
  <c r="S36" i="4"/>
  <c r="S61" i="4"/>
  <c r="S23" i="4"/>
  <c r="S46" i="4"/>
  <c r="S28" i="4"/>
  <c r="S57" i="4"/>
  <c r="S38" i="4"/>
  <c r="S6" i="4"/>
  <c r="S25" i="4"/>
  <c r="S49" i="4"/>
  <c r="S40" i="4"/>
  <c r="S9" i="4"/>
  <c r="S13" i="4"/>
  <c r="S14" i="4"/>
  <c r="S65" i="4"/>
  <c r="S8" i="4"/>
  <c r="S27" i="4"/>
  <c r="S51" i="4"/>
  <c r="S50" i="4"/>
  <c r="S26" i="4"/>
  <c r="S32" i="4"/>
  <c r="S53" i="4"/>
  <c r="S63" i="4"/>
  <c r="S11" i="4"/>
  <c r="S29" i="4"/>
  <c r="S55" i="4"/>
  <c r="S5" i="4"/>
  <c r="S42" i="4"/>
  <c r="S12" i="4"/>
  <c r="S59" i="4"/>
  <c r="S22" i="4"/>
  <c r="S34" i="4"/>
  <c r="S7" i="4"/>
  <c r="S24" i="4"/>
  <c r="S35" i="4"/>
  <c r="S20" i="4"/>
  <c r="S18" i="4"/>
  <c r="S31" i="4"/>
  <c r="S17" i="4"/>
  <c r="S41" i="4"/>
  <c r="S16" i="4"/>
  <c r="S33" i="4"/>
  <c r="S47" i="4"/>
  <c r="S43" i="4"/>
  <c r="S45" i="4"/>
  <c r="I39" i="9"/>
  <c r="R18" i="4"/>
  <c r="R49" i="4"/>
  <c r="R14" i="4"/>
  <c r="R45" i="4"/>
  <c r="R8" i="4"/>
  <c r="R40" i="4"/>
  <c r="R25" i="4"/>
  <c r="R28" i="4"/>
  <c r="R26" i="4"/>
  <c r="R34" i="4"/>
  <c r="R57" i="4"/>
  <c r="R17" i="4"/>
  <c r="R29" i="4"/>
  <c r="R51" i="4"/>
  <c r="R32" i="4"/>
  <c r="R42" i="4"/>
  <c r="R11" i="4"/>
  <c r="R7" i="4"/>
  <c r="R46" i="4"/>
  <c r="R27" i="4"/>
  <c r="R36" i="4"/>
  <c r="R65" i="4"/>
  <c r="R16" i="4"/>
  <c r="R38" i="4"/>
  <c r="R53" i="4"/>
  <c r="R20" i="4"/>
  <c r="R50" i="4"/>
  <c r="R24" i="4"/>
  <c r="R41" i="4"/>
  <c r="R13" i="4"/>
  <c r="R61" i="4"/>
  <c r="R35" i="4"/>
  <c r="R59" i="4"/>
  <c r="R43" i="4"/>
  <c r="R12" i="4"/>
  <c r="R6" i="4"/>
  <c r="R23" i="4"/>
  <c r="R31" i="4"/>
  <c r="R63" i="4"/>
  <c r="R33" i="4"/>
  <c r="R55" i="4"/>
  <c r="R22" i="4"/>
  <c r="R5" i="4"/>
  <c r="R47" i="4"/>
  <c r="R9" i="4"/>
  <c r="I42" i="9"/>
  <c r="T65" i="4"/>
  <c r="T16" i="4"/>
  <c r="T47" i="4"/>
  <c r="T20" i="4"/>
  <c r="T43" i="4"/>
  <c r="T61" i="4"/>
  <c r="T63" i="4"/>
  <c r="T18" i="4"/>
  <c r="T53" i="4"/>
  <c r="T23" i="4"/>
  <c r="T46" i="4"/>
  <c r="T31" i="4"/>
  <c r="T7" i="4"/>
  <c r="T55" i="4"/>
  <c r="T14" i="4"/>
  <c r="T28" i="4"/>
  <c r="T22" i="4"/>
  <c r="T6" i="4"/>
  <c r="T25" i="4"/>
  <c r="T49" i="4"/>
  <c r="T57" i="4"/>
  <c r="T11" i="4"/>
  <c r="T17" i="4"/>
  <c r="T50" i="4"/>
  <c r="T24" i="4"/>
  <c r="T8" i="4"/>
  <c r="T27" i="4"/>
  <c r="T51" i="4"/>
  <c r="T26" i="4"/>
  <c r="T29" i="4"/>
  <c r="T33" i="4"/>
  <c r="T38" i="4"/>
  <c r="T9" i="4"/>
  <c r="T40" i="4"/>
  <c r="T13" i="4"/>
  <c r="T32" i="4"/>
  <c r="T59" i="4"/>
  <c r="T45" i="4"/>
  <c r="T35" i="4"/>
  <c r="T12" i="4"/>
  <c r="T42" i="4"/>
  <c r="T34" i="4"/>
  <c r="T5" i="4"/>
  <c r="T36" i="4"/>
  <c r="T41" i="4"/>
  <c r="I37" i="9"/>
  <c r="H30" i="9"/>
  <c r="I30" i="9" s="1"/>
  <c r="G33" i="47"/>
  <c r="E9" i="56"/>
  <c r="G9" i="56"/>
  <c r="D9" i="56"/>
  <c r="F9" i="56"/>
  <c r="C9" i="56"/>
  <c r="E41" i="50"/>
  <c r="E51" i="50" s="1"/>
  <c r="E56" i="50" s="1"/>
  <c r="E19" i="50"/>
  <c r="E24" i="50" s="1"/>
  <c r="F6" i="54" s="1"/>
  <c r="E4" i="55"/>
  <c r="E5" i="56"/>
  <c r="C5" i="56"/>
  <c r="C41" i="50"/>
  <c r="C51" i="50" s="1"/>
  <c r="C56" i="50" s="1"/>
  <c r="C4" i="55"/>
  <c r="C5" i="57" s="1"/>
  <c r="C19" i="50"/>
  <c r="C24" i="50" s="1"/>
  <c r="D6" i="54" s="1"/>
  <c r="H6" i="54"/>
  <c r="G4" i="55"/>
  <c r="G5" i="56"/>
  <c r="F4" i="55"/>
  <c r="F5" i="56"/>
  <c r="F41" i="50"/>
  <c r="F51" i="50" s="1"/>
  <c r="F56" i="50" s="1"/>
  <c r="F19" i="50"/>
  <c r="F24" i="50" s="1"/>
  <c r="G6" i="54" s="1"/>
  <c r="D4" i="55"/>
  <c r="D5" i="56"/>
  <c r="D19" i="50"/>
  <c r="D24" i="50" s="1"/>
  <c r="E6" i="54" s="1"/>
  <c r="D41" i="50"/>
  <c r="D51" i="50" s="1"/>
  <c r="D56" i="50" s="1"/>
  <c r="AA18" i="4" l="1"/>
  <c r="E14" i="47" s="1"/>
  <c r="G14" i="47" s="1"/>
  <c r="H14" i="47" s="1"/>
  <c r="AA23" i="4"/>
  <c r="AA47" i="4"/>
  <c r="AA46" i="4"/>
  <c r="AA26" i="4"/>
  <c r="AA51" i="4"/>
  <c r="AA28" i="4"/>
  <c r="AA42" i="4"/>
  <c r="E23" i="47" s="1"/>
  <c r="G23" i="47" s="1"/>
  <c r="H23" i="47" s="1"/>
  <c r="AA35" i="4"/>
  <c r="AA29" i="4"/>
  <c r="AA34" i="4"/>
  <c r="AA43" i="4"/>
  <c r="AA8" i="4"/>
  <c r="E7" i="47" s="1"/>
  <c r="G7" i="47" s="1"/>
  <c r="H7" i="47" s="1"/>
  <c r="AA14" i="4"/>
  <c r="E11" i="47" s="1"/>
  <c r="AA40" i="4"/>
  <c r="E21" i="47" s="1"/>
  <c r="G21" i="47" s="1"/>
  <c r="H21" i="47" s="1"/>
  <c r="AA41" i="4"/>
  <c r="E22" i="47" s="1"/>
  <c r="G22" i="47" s="1"/>
  <c r="H22" i="47" s="1"/>
  <c r="AA31" i="4"/>
  <c r="AA12" i="4"/>
  <c r="E9" i="47" s="1"/>
  <c r="AA5" i="4"/>
  <c r="E5" i="47" s="1"/>
  <c r="G5" i="47" s="1"/>
  <c r="H5" i="47" s="1"/>
  <c r="AA50" i="4"/>
  <c r="AA9" i="4"/>
  <c r="E8" i="47" s="1"/>
  <c r="AA33" i="4"/>
  <c r="AA13" i="4"/>
  <c r="E10" i="47" s="1"/>
  <c r="AA16" i="4"/>
  <c r="E12" i="47" s="1"/>
  <c r="G12" i="47" s="1"/>
  <c r="H12" i="47" s="1"/>
  <c r="AA53" i="4"/>
  <c r="E27" i="47" s="1"/>
  <c r="G27" i="47" s="1"/>
  <c r="H27" i="47" s="1"/>
  <c r="AA25" i="4"/>
  <c r="AA61" i="4"/>
  <c r="E30" i="47" s="1"/>
  <c r="G30" i="47" s="1"/>
  <c r="H30" i="47" s="1"/>
  <c r="AA7" i="4"/>
  <c r="AA27" i="4"/>
  <c r="AA49" i="4"/>
  <c r="E25" i="47" s="1"/>
  <c r="G25" i="47" s="1"/>
  <c r="H25" i="47" s="1"/>
  <c r="AA20" i="4"/>
  <c r="E15" i="47" s="1"/>
  <c r="G15" i="47" s="1"/>
  <c r="H15" i="47" s="1"/>
  <c r="AA36" i="4"/>
  <c r="AA32" i="4"/>
  <c r="AA57" i="4"/>
  <c r="AA63" i="4"/>
  <c r="E29" i="47" s="1"/>
  <c r="G29" i="47" s="1"/>
  <c r="H29" i="47" s="1"/>
  <c r="AA6" i="4"/>
  <c r="E6" i="47" s="1"/>
  <c r="G6" i="47" s="1"/>
  <c r="H6" i="47" s="1"/>
  <c r="AA22" i="4"/>
  <c r="E19" i="47" s="1"/>
  <c r="G19" i="47" s="1"/>
  <c r="H19" i="47" s="1"/>
  <c r="AA55" i="4"/>
  <c r="E28" i="47" s="1"/>
  <c r="G28" i="47" s="1"/>
  <c r="H28" i="47" s="1"/>
  <c r="AA45" i="4"/>
  <c r="E24" i="47" s="1"/>
  <c r="G24" i="47" s="1"/>
  <c r="H24" i="47" s="1"/>
  <c r="AA65" i="4"/>
  <c r="E31" i="47" s="1"/>
  <c r="G31" i="47" s="1"/>
  <c r="H31" i="47" s="1"/>
  <c r="AA17" i="4"/>
  <c r="E13" i="47" s="1"/>
  <c r="G13" i="47" s="1"/>
  <c r="H13" i="47" s="1"/>
  <c r="AA38" i="4"/>
  <c r="E32" i="47" s="1"/>
  <c r="G32" i="47" s="1"/>
  <c r="AA11" i="4"/>
  <c r="AA24" i="4"/>
  <c r="E20" i="47" s="1"/>
  <c r="G20" i="47" s="1"/>
  <c r="H20" i="47" s="1"/>
  <c r="AA59" i="4"/>
  <c r="H33" i="47"/>
  <c r="I33" i="47" s="1"/>
  <c r="G5" i="57"/>
  <c r="I5" i="57"/>
  <c r="E5" i="57"/>
  <c r="K5" i="57"/>
  <c r="D26" i="56"/>
  <c r="D7" i="56"/>
  <c r="D6" i="55"/>
  <c r="C6" i="55"/>
  <c r="C18" i="55" s="1"/>
  <c r="F26" i="56"/>
  <c r="F7" i="56"/>
  <c r="F6" i="55"/>
  <c r="C26" i="56"/>
  <c r="C7" i="56"/>
  <c r="G26" i="56"/>
  <c r="G7" i="56"/>
  <c r="E26" i="56"/>
  <c r="E7" i="56"/>
  <c r="G6" i="55"/>
  <c r="E6" i="55"/>
  <c r="E18" i="47" l="1"/>
  <c r="G18" i="47" s="1"/>
  <c r="H18" i="47" s="1"/>
  <c r="E17" i="47"/>
  <c r="G17" i="47" s="1"/>
  <c r="H17" i="47" s="1"/>
  <c r="E26" i="47"/>
  <c r="G26" i="47" s="1"/>
  <c r="H26" i="47" s="1"/>
  <c r="E15" i="56"/>
  <c r="F15" i="56"/>
  <c r="G15" i="56"/>
  <c r="C15" i="56"/>
  <c r="G11" i="47"/>
  <c r="H11" i="47" s="1"/>
  <c r="D15" i="56"/>
  <c r="G13" i="56"/>
  <c r="C13" i="56"/>
  <c r="E13" i="56"/>
  <c r="F13" i="56"/>
  <c r="G9" i="47"/>
  <c r="H9" i="47" s="1"/>
  <c r="D13" i="56"/>
  <c r="C12" i="56"/>
  <c r="F12" i="56"/>
  <c r="E12" i="56"/>
  <c r="G8" i="47"/>
  <c r="H8" i="47" s="1"/>
  <c r="G12" i="56"/>
  <c r="D12" i="56"/>
  <c r="E16" i="47"/>
  <c r="G16" i="47" s="1"/>
  <c r="H16" i="47" s="1"/>
  <c r="H32" i="47"/>
  <c r="I32" i="47" s="1"/>
  <c r="D32" i="47" s="1"/>
  <c r="C32" i="47" s="1"/>
  <c r="F14" i="56"/>
  <c r="D14" i="56"/>
  <c r="C14" i="56"/>
  <c r="E14" i="56"/>
  <c r="G14" i="56"/>
  <c r="G10" i="47"/>
  <c r="H10" i="47" s="1"/>
  <c r="D33" i="47"/>
  <c r="C33" i="47" s="1"/>
  <c r="M5" i="57"/>
  <c r="H6" i="43"/>
  <c r="I6" i="43" s="1"/>
  <c r="I161" i="2"/>
  <c r="H7" i="43" s="1"/>
  <c r="I7" i="43" s="1"/>
  <c r="H6" i="21"/>
  <c r="I6" i="21" s="1"/>
  <c r="I16" i="21" s="1"/>
  <c r="C50" i="21" s="1"/>
  <c r="C53" i="21" s="1"/>
  <c r="E6" i="52" s="1"/>
  <c r="I16" i="43" l="1"/>
  <c r="C50" i="43" s="1"/>
  <c r="C53" i="43" s="1"/>
  <c r="E34" i="52" s="1"/>
  <c r="F8" i="47"/>
  <c r="F30" i="47" l="1"/>
  <c r="I17" i="47" l="1"/>
  <c r="D17" i="47" s="1"/>
  <c r="C17" i="47" s="1"/>
  <c r="I14" i="47"/>
  <c r="D14" i="47" s="1"/>
  <c r="C14" i="47" s="1"/>
  <c r="I19" i="47"/>
  <c r="D19" i="47" s="1"/>
  <c r="C19" i="47" s="1"/>
  <c r="I24" i="47"/>
  <c r="D24" i="47" s="1"/>
  <c r="C24" i="47" s="1"/>
  <c r="I29" i="47" l="1"/>
  <c r="D29" i="47" s="1"/>
  <c r="C29" i="47" s="1"/>
  <c r="I13" i="47"/>
  <c r="D13" i="47" s="1"/>
  <c r="C13" i="47" s="1"/>
  <c r="I6" i="47"/>
  <c r="D6" i="47" s="1"/>
  <c r="C6" i="47" s="1"/>
  <c r="I7" i="47"/>
  <c r="D7" i="47" s="1"/>
  <c r="C7" i="47" s="1"/>
  <c r="I31" i="47"/>
  <c r="D31" i="47" s="1"/>
  <c r="C31" i="47" s="1"/>
  <c r="I10" i="47"/>
  <c r="D10" i="47" s="1"/>
  <c r="C10" i="47" s="1"/>
  <c r="I11" i="47"/>
  <c r="D11" i="47" s="1"/>
  <c r="C11" i="47" s="1"/>
  <c r="I5" i="47"/>
  <c r="D5" i="47" s="1"/>
  <c r="C5" i="47" s="1"/>
  <c r="I28" i="47"/>
  <c r="D28" i="47" s="1"/>
  <c r="C28" i="47" s="1"/>
  <c r="I26" i="47"/>
  <c r="D26" i="47" s="1"/>
  <c r="C26" i="47" s="1"/>
  <c r="I20" i="47"/>
  <c r="D20" i="47" s="1"/>
  <c r="C20" i="47" s="1"/>
  <c r="I21" i="47"/>
  <c r="D21" i="47" s="1"/>
  <c r="C21" i="47" s="1"/>
  <c r="I9" i="47"/>
  <c r="D9" i="47" s="1"/>
  <c r="C9" i="47" s="1"/>
  <c r="I30" i="47"/>
  <c r="D30" i="47" s="1"/>
  <c r="C30" i="47" s="1"/>
  <c r="I25" i="47"/>
  <c r="D25" i="47" s="1"/>
  <c r="C25" i="47" s="1"/>
  <c r="I16" i="47"/>
  <c r="D16" i="47" s="1"/>
  <c r="C16" i="47" s="1"/>
  <c r="I27" i="47"/>
  <c r="D27" i="47" s="1"/>
  <c r="C27" i="47" s="1"/>
  <c r="I22" i="47"/>
  <c r="D22" i="47" s="1"/>
  <c r="C22" i="47" s="1"/>
  <c r="I18" i="47"/>
  <c r="D18" i="47" s="1"/>
  <c r="C18" i="47" s="1"/>
  <c r="I8" i="47"/>
  <c r="D8" i="47" s="1"/>
  <c r="C8" i="47" s="1"/>
  <c r="I15" i="47"/>
  <c r="D15" i="47" s="1"/>
  <c r="C15" i="47" s="1"/>
  <c r="I23" i="47"/>
  <c r="D23" i="47" s="1"/>
  <c r="C23" i="47" s="1"/>
  <c r="I12" i="47"/>
  <c r="D12" i="47" s="1"/>
  <c r="C12" i="47" s="1"/>
  <c r="AK12" i="52" l="1"/>
  <c r="AL12" i="52" s="1"/>
  <c r="AL63" i="52" s="1"/>
  <c r="AC12" i="52"/>
  <c r="AD12" i="52" s="1"/>
  <c r="I12" i="52"/>
  <c r="I63" i="52" s="1"/>
  <c r="C8" i="50" s="1"/>
  <c r="Y12" i="52"/>
  <c r="Z12" i="52" s="1"/>
  <c r="L12" i="52"/>
  <c r="M12" i="52" s="1"/>
  <c r="M63" i="52" s="1"/>
  <c r="P12" i="52"/>
  <c r="Q12" i="52" s="1"/>
  <c r="Q63" i="52" s="1"/>
  <c r="T12" i="52"/>
  <c r="U12" i="52" s="1"/>
  <c r="U63" i="52" s="1"/>
  <c r="AG12" i="52"/>
  <c r="AH12" i="52" s="1"/>
  <c r="AH63" i="52" s="1"/>
  <c r="H27" i="52"/>
  <c r="L27" i="52"/>
  <c r="AK27" i="52"/>
  <c r="P27" i="52"/>
  <c r="AG27" i="52"/>
  <c r="Y27" i="52"/>
  <c r="T27" i="52"/>
  <c r="AC27" i="52"/>
  <c r="H25" i="52"/>
  <c r="I25" i="52" s="1"/>
  <c r="L25" i="52"/>
  <c r="M25" i="52" s="1"/>
  <c r="AG25" i="52"/>
  <c r="AH25" i="52" s="1"/>
  <c r="P25" i="52"/>
  <c r="Q25" i="52" s="1"/>
  <c r="AC25" i="52"/>
  <c r="AD25" i="52" s="1"/>
  <c r="AK25" i="52"/>
  <c r="AL25" i="52" s="1"/>
  <c r="T25" i="52"/>
  <c r="U25" i="52" s="1"/>
  <c r="Y25" i="52"/>
  <c r="Z25" i="52" s="1"/>
  <c r="E43" i="50" l="1"/>
  <c r="F43" i="50"/>
  <c r="AD63" i="52"/>
  <c r="Z63" i="52"/>
  <c r="D8" i="50"/>
  <c r="E8" i="50"/>
  <c r="F8" i="50"/>
  <c r="L28" i="52"/>
  <c r="H28" i="52"/>
  <c r="Y28" i="52"/>
  <c r="AK28" i="52"/>
  <c r="AG28" i="52"/>
  <c r="AC28" i="52"/>
  <c r="P28" i="52"/>
  <c r="T28" i="52"/>
  <c r="C43" i="50" l="1"/>
  <c r="D43" i="50"/>
  <c r="AC6" i="52"/>
  <c r="AD6" i="52" s="1"/>
  <c r="Y6" i="52"/>
  <c r="Z6" i="52" s="1"/>
  <c r="L6" i="52"/>
  <c r="M6" i="52" s="1"/>
  <c r="AK6" i="52"/>
  <c r="AL6" i="52" s="1"/>
  <c r="AG6" i="52"/>
  <c r="AH6" i="52" s="1"/>
  <c r="T6" i="52"/>
  <c r="U6" i="52" s="1"/>
  <c r="H6" i="52"/>
  <c r="I6" i="52" s="1"/>
  <c r="P6" i="52"/>
  <c r="Q6" i="52" s="1"/>
  <c r="Y17" i="52"/>
  <c r="AC17" i="52"/>
  <c r="H17" i="52"/>
  <c r="L17" i="52"/>
  <c r="T17" i="52"/>
  <c r="P17" i="52"/>
  <c r="AG17" i="52"/>
  <c r="AK17" i="52"/>
  <c r="AG15" i="52"/>
  <c r="P15" i="52"/>
  <c r="AC15" i="52"/>
  <c r="T15" i="52"/>
  <c r="Y15" i="52"/>
  <c r="AK15" i="52"/>
  <c r="H15" i="52"/>
  <c r="L15" i="52"/>
  <c r="T14" i="52"/>
  <c r="Y14" i="52"/>
  <c r="H14" i="52"/>
  <c r="L14" i="52"/>
  <c r="P14" i="52"/>
  <c r="AK14" i="52"/>
  <c r="AC14" i="52"/>
  <c r="AG14" i="52"/>
  <c r="Y3" i="52" l="1"/>
  <c r="Z3" i="52" s="1"/>
  <c r="L3" i="52"/>
  <c r="AG3" i="52"/>
  <c r="AH3" i="52" s="1"/>
  <c r="H3" i="52"/>
  <c r="T3" i="52"/>
  <c r="AK3" i="52"/>
  <c r="AL3" i="52" s="1"/>
  <c r="AC3" i="52"/>
  <c r="P3" i="52"/>
  <c r="AC5" i="52"/>
  <c r="AD5" i="52" s="1"/>
  <c r="Y5" i="52"/>
  <c r="Z5" i="52" s="1"/>
  <c r="P5" i="52"/>
  <c r="Q5" i="52" s="1"/>
  <c r="AK5" i="52"/>
  <c r="AL5" i="52" s="1"/>
  <c r="AG5" i="52"/>
  <c r="AH5" i="52" s="1"/>
  <c r="H5" i="52"/>
  <c r="I5" i="52" s="1"/>
  <c r="T5" i="52"/>
  <c r="U5" i="52" s="1"/>
  <c r="L5" i="52"/>
  <c r="M5" i="52" s="1"/>
  <c r="L4" i="52"/>
  <c r="M4" i="52" s="1"/>
  <c r="T4" i="52"/>
  <c r="U4" i="52" s="1"/>
  <c r="P4" i="52"/>
  <c r="Q4" i="52" s="1"/>
  <c r="AC4" i="52"/>
  <c r="AD4" i="52" s="1"/>
  <c r="Y4" i="52"/>
  <c r="AK4" i="52"/>
  <c r="AG4" i="52"/>
  <c r="H4" i="52"/>
  <c r="I4" i="52" s="1"/>
  <c r="AL14" i="52"/>
  <c r="Q14" i="52"/>
  <c r="AG16" i="52"/>
  <c r="L16" i="52"/>
  <c r="H16" i="52"/>
  <c r="Y16" i="52"/>
  <c r="AK16" i="52"/>
  <c r="P16" i="52"/>
  <c r="T16" i="52"/>
  <c r="AC16" i="52"/>
  <c r="M14" i="52"/>
  <c r="M17" i="52"/>
  <c r="I14" i="52"/>
  <c r="I17" i="52"/>
  <c r="Z14" i="52"/>
  <c r="U14" i="52"/>
  <c r="AH14" i="52"/>
  <c r="AD14" i="52"/>
  <c r="H30" i="52"/>
  <c r="Y30" i="52"/>
  <c r="T30" i="52"/>
  <c r="L30" i="52"/>
  <c r="AK30" i="52"/>
  <c r="AG30" i="52"/>
  <c r="AC30" i="52"/>
  <c r="P30" i="52"/>
  <c r="H52" i="52"/>
  <c r="AK52" i="52"/>
  <c r="T52" i="52"/>
  <c r="AG52" i="52"/>
  <c r="AC52" i="52"/>
  <c r="L52" i="52"/>
  <c r="P52" i="52"/>
  <c r="Y52" i="52"/>
  <c r="L38" i="52"/>
  <c r="T38" i="52"/>
  <c r="H38" i="52"/>
  <c r="Y38" i="52"/>
  <c r="P38" i="52"/>
  <c r="AK38" i="52"/>
  <c r="AG38" i="52"/>
  <c r="AC38" i="52"/>
  <c r="T48" i="52"/>
  <c r="AC48" i="52"/>
  <c r="Y48" i="52"/>
  <c r="P48" i="52"/>
  <c r="L48" i="52"/>
  <c r="AG48" i="52"/>
  <c r="AK48" i="52"/>
  <c r="H48" i="52"/>
  <c r="H36" i="52"/>
  <c r="T36" i="52"/>
  <c r="L36" i="52"/>
  <c r="Y36" i="52"/>
  <c r="P36" i="52"/>
  <c r="AG36" i="52"/>
  <c r="AK36" i="52"/>
  <c r="AC36" i="52"/>
  <c r="AK19" i="52"/>
  <c r="L19" i="52"/>
  <c r="H19" i="52"/>
  <c r="AG19" i="52"/>
  <c r="AC19" i="52"/>
  <c r="Y19" i="52"/>
  <c r="P19" i="52"/>
  <c r="T19" i="52"/>
  <c r="Y8" i="52"/>
  <c r="L8" i="52"/>
  <c r="P8" i="52"/>
  <c r="H8" i="52"/>
  <c r="T8" i="52"/>
  <c r="AK8" i="52"/>
  <c r="AG8" i="52"/>
  <c r="AC8" i="52"/>
  <c r="H40" i="52"/>
  <c r="AG40" i="52"/>
  <c r="T40" i="52"/>
  <c r="P40" i="52"/>
  <c r="L40" i="52"/>
  <c r="AK40" i="52"/>
  <c r="AC40" i="52"/>
  <c r="Y40" i="52"/>
  <c r="H32" i="52"/>
  <c r="AC32" i="52"/>
  <c r="L32" i="52"/>
  <c r="AG32" i="52"/>
  <c r="AK32" i="52"/>
  <c r="T32" i="52"/>
  <c r="P32" i="52"/>
  <c r="Y32" i="52"/>
  <c r="L9" i="52"/>
  <c r="P9" i="52"/>
  <c r="Y9" i="52"/>
  <c r="T9" i="52"/>
  <c r="H9" i="52"/>
  <c r="AK9" i="52"/>
  <c r="AG9" i="52"/>
  <c r="AC9" i="52"/>
  <c r="T24" i="52"/>
  <c r="L24" i="52"/>
  <c r="AK24" i="52"/>
  <c r="AG24" i="52"/>
  <c r="AC24" i="52"/>
  <c r="Y24" i="52"/>
  <c r="P24" i="52"/>
  <c r="H24" i="52"/>
  <c r="P42" i="52"/>
  <c r="AK42" i="52"/>
  <c r="AG42" i="52"/>
  <c r="AH42" i="52" s="1"/>
  <c r="AC42" i="52"/>
  <c r="AD42" i="52" s="1"/>
  <c r="L42" i="52"/>
  <c r="T42" i="52"/>
  <c r="Y42" i="52"/>
  <c r="H42" i="52"/>
  <c r="P44" i="52"/>
  <c r="AK44" i="52"/>
  <c r="T44" i="52"/>
  <c r="AG44" i="52"/>
  <c r="L44" i="52"/>
  <c r="Y44" i="52"/>
  <c r="AC44" i="52"/>
  <c r="H44" i="52"/>
  <c r="AH4" i="52" l="1"/>
  <c r="Z4" i="52"/>
  <c r="AD3" i="52"/>
  <c r="AL4" i="52"/>
  <c r="U3" i="52"/>
  <c r="Q3" i="52"/>
  <c r="I3" i="52"/>
  <c r="M3" i="52"/>
  <c r="Z28" i="52"/>
  <c r="M28" i="52"/>
  <c r="AL28" i="52"/>
  <c r="AH28" i="52"/>
  <c r="AD28" i="52"/>
  <c r="I28" i="52"/>
  <c r="U28" i="52"/>
  <c r="Q28" i="52"/>
  <c r="I27" i="52"/>
  <c r="AL27" i="52"/>
  <c r="U27" i="52"/>
  <c r="AH27" i="52"/>
  <c r="Z27" i="52"/>
  <c r="M27" i="52"/>
  <c r="AD27" i="52"/>
  <c r="Q27" i="52"/>
  <c r="AH17" i="52"/>
  <c r="Q17" i="52"/>
  <c r="Z17" i="52"/>
  <c r="AL17" i="52"/>
  <c r="U17" i="52"/>
  <c r="AD17" i="52"/>
  <c r="Z48" i="52"/>
  <c r="U52" i="52"/>
  <c r="AK54" i="52"/>
  <c r="AG54" i="52"/>
  <c r="AC54" i="52"/>
  <c r="T54" i="52"/>
  <c r="P54" i="52"/>
  <c r="H54" i="52"/>
  <c r="Y54" i="52"/>
  <c r="L54" i="52"/>
  <c r="AD36" i="52"/>
  <c r="I48" i="52"/>
  <c r="I42" i="52"/>
  <c r="AL48" i="52"/>
  <c r="U48" i="52"/>
  <c r="I38" i="52"/>
  <c r="AD30" i="52"/>
  <c r="AH44" i="52"/>
  <c r="Z42" i="52"/>
  <c r="Q42" i="52"/>
  <c r="AH48" i="52"/>
  <c r="AD38" i="52"/>
  <c r="U38" i="52"/>
  <c r="AL52" i="52"/>
  <c r="T10" i="52"/>
  <c r="P10" i="52"/>
  <c r="P72" i="52" s="1"/>
  <c r="H10" i="52"/>
  <c r="I10" i="52" s="1"/>
  <c r="AK10" i="52"/>
  <c r="AL10" i="52" s="1"/>
  <c r="L10" i="52"/>
  <c r="M10" i="52" s="1"/>
  <c r="AC10" i="52"/>
  <c r="AD10" i="52" s="1"/>
  <c r="Y10" i="52"/>
  <c r="AG10" i="52"/>
  <c r="M44" i="52"/>
  <c r="AL42" i="52"/>
  <c r="AL36" i="52"/>
  <c r="AD44" i="52"/>
  <c r="U44" i="52"/>
  <c r="H34" i="52"/>
  <c r="I34" i="52" s="1"/>
  <c r="P34" i="52"/>
  <c r="Q34" i="52" s="1"/>
  <c r="T34" i="52"/>
  <c r="U34" i="52" s="1"/>
  <c r="L34" i="52"/>
  <c r="M34" i="52" s="1"/>
  <c r="AG34" i="52"/>
  <c r="AH34" i="52" s="1"/>
  <c r="AC34" i="52"/>
  <c r="AD34" i="52" s="1"/>
  <c r="Y34" i="52"/>
  <c r="Z34" i="52" s="1"/>
  <c r="AK34" i="52"/>
  <c r="AL34" i="52" s="1"/>
  <c r="I24" i="52"/>
  <c r="AD8" i="52"/>
  <c r="Z36" i="52"/>
  <c r="M38" i="52"/>
  <c r="AK22" i="52"/>
  <c r="AL22" i="52" s="1"/>
  <c r="L22" i="52"/>
  <c r="M22" i="52" s="1"/>
  <c r="AG22" i="52"/>
  <c r="AH22" i="52" s="1"/>
  <c r="AC22" i="52"/>
  <c r="AD22" i="52" s="1"/>
  <c r="P22" i="52"/>
  <c r="Q22" i="52" s="1"/>
  <c r="H22" i="52"/>
  <c r="I22" i="52" s="1"/>
  <c r="T22" i="52"/>
  <c r="U22" i="52" s="1"/>
  <c r="Y22" i="52"/>
  <c r="Z22" i="52" s="1"/>
  <c r="AL38" i="52"/>
  <c r="Q38" i="52"/>
  <c r="Z38" i="52"/>
  <c r="I30" i="52"/>
  <c r="L20" i="52"/>
  <c r="AG20" i="52"/>
  <c r="T20" i="52"/>
  <c r="AK20" i="52"/>
  <c r="H20" i="52"/>
  <c r="P20" i="52"/>
  <c r="Y20" i="52"/>
  <c r="AC20" i="52"/>
  <c r="I36" i="52"/>
  <c r="U8" i="52"/>
  <c r="Z24" i="52"/>
  <c r="U19" i="52"/>
  <c r="U42" i="52"/>
  <c r="AL24" i="52"/>
  <c r="AH38" i="52"/>
  <c r="Z52" i="52"/>
  <c r="AC46" i="52"/>
  <c r="T46" i="52"/>
  <c r="L46" i="52"/>
  <c r="Y46" i="52"/>
  <c r="H46" i="52"/>
  <c r="AK46" i="52"/>
  <c r="AG46" i="52"/>
  <c r="P46" i="52"/>
  <c r="M42" i="52"/>
  <c r="Z40" i="52"/>
  <c r="U36" i="52"/>
  <c r="I44" i="52"/>
  <c r="M48" i="52"/>
  <c r="M24" i="52"/>
  <c r="Q9" i="52"/>
  <c r="M36" i="52"/>
  <c r="Q48" i="52"/>
  <c r="H73" i="52" l="1"/>
  <c r="AG69" i="52"/>
  <c r="D15" i="53" s="1"/>
  <c r="T68" i="52"/>
  <c r="Y69" i="52"/>
  <c r="D13" i="53" s="1"/>
  <c r="L68" i="52"/>
  <c r="AC69" i="52"/>
  <c r="D14" i="53" s="1"/>
  <c r="P68" i="52"/>
  <c r="H68" i="52"/>
  <c r="AK69" i="52"/>
  <c r="D16" i="53" s="1"/>
  <c r="P73" i="52"/>
  <c r="P74" i="52" s="1"/>
  <c r="D6" i="53"/>
  <c r="E6" i="53" s="1"/>
  <c r="H72" i="52"/>
  <c r="D9" i="53"/>
  <c r="E9" i="53" s="1"/>
  <c r="Q15" i="52"/>
  <c r="AL15" i="52"/>
  <c r="Z15" i="52"/>
  <c r="AD15" i="52"/>
  <c r="AH15" i="52"/>
  <c r="U15" i="52"/>
  <c r="M15" i="52"/>
  <c r="I15" i="52"/>
  <c r="I46" i="52"/>
  <c r="M52" i="52"/>
  <c r="AL20" i="52"/>
  <c r="I40" i="52"/>
  <c r="U9" i="52"/>
  <c r="M19" i="52"/>
  <c r="Z30" i="52"/>
  <c r="AL19" i="52"/>
  <c r="I52" i="52"/>
  <c r="M9" i="52"/>
  <c r="Q40" i="52"/>
  <c r="AH9" i="52"/>
  <c r="AH19" i="52"/>
  <c r="M54" i="52"/>
  <c r="AL54" i="52"/>
  <c r="Z19" i="52"/>
  <c r="Q30" i="52"/>
  <c r="AL8" i="52"/>
  <c r="AH8" i="52"/>
  <c r="AL44" i="52"/>
  <c r="U46" i="52"/>
  <c r="AD52" i="52"/>
  <c r="AD48" i="52"/>
  <c r="Q36" i="52"/>
  <c r="AH36" i="52"/>
  <c r="AH40" i="52"/>
  <c r="Z54" i="52"/>
  <c r="AH52" i="52"/>
  <c r="AH30" i="52"/>
  <c r="AD40" i="52"/>
  <c r="Q19" i="52"/>
  <c r="Z8" i="52"/>
  <c r="Q52" i="52"/>
  <c r="Q46" i="52"/>
  <c r="I9" i="52"/>
  <c r="AD19" i="52"/>
  <c r="Q10" i="52"/>
  <c r="M30" i="52"/>
  <c r="AD46" i="52"/>
  <c r="U24" i="52"/>
  <c r="Z9" i="52"/>
  <c r="U10" i="52"/>
  <c r="M8" i="52"/>
  <c r="AH24" i="52"/>
  <c r="Q8" i="52"/>
  <c r="AD9" i="52"/>
  <c r="Q54" i="52"/>
  <c r="Z44" i="52"/>
  <c r="Q44" i="52"/>
  <c r="AD54" i="52"/>
  <c r="Z46" i="52"/>
  <c r="U40" i="52"/>
  <c r="U30" i="52"/>
  <c r="I8" i="52"/>
  <c r="AH54" i="52"/>
  <c r="M46" i="52"/>
  <c r="AL40" i="52"/>
  <c r="AD24" i="52"/>
  <c r="Q24" i="52"/>
  <c r="AH20" i="52"/>
  <c r="AH10" i="52"/>
  <c r="AL9" i="52"/>
  <c r="I19" i="52"/>
  <c r="I54" i="52"/>
  <c r="M40" i="52"/>
  <c r="AH46" i="52"/>
  <c r="AL46" i="52"/>
  <c r="AL30" i="52"/>
  <c r="Z10" i="52"/>
  <c r="D7" i="53"/>
  <c r="E7" i="53" s="1"/>
  <c r="D8" i="53"/>
  <c r="E8" i="53" s="1"/>
  <c r="U54" i="52"/>
  <c r="E28" i="50" l="1"/>
  <c r="L56" i="50" s="1"/>
  <c r="F28" i="50"/>
  <c r="M56" i="50" s="1"/>
  <c r="D28" i="50"/>
  <c r="K56" i="50" s="1"/>
  <c r="C28" i="50"/>
  <c r="J56" i="50" s="1"/>
  <c r="P75" i="52"/>
  <c r="H74" i="52"/>
  <c r="H75" i="52" s="1"/>
  <c r="C9" i="55" s="1"/>
  <c r="AH16" i="52"/>
  <c r="AH65" i="52" s="1"/>
  <c r="I16" i="52"/>
  <c r="Q16" i="52"/>
  <c r="Q65" i="52" s="1"/>
  <c r="AD16" i="52"/>
  <c r="Z16" i="52"/>
  <c r="Z65" i="52" s="1"/>
  <c r="M16" i="52"/>
  <c r="M65" i="52" s="1"/>
  <c r="AL16" i="52"/>
  <c r="AL65" i="52" s="1"/>
  <c r="U16" i="52"/>
  <c r="U65" i="52" s="1"/>
  <c r="Z20" i="52"/>
  <c r="Q20" i="52"/>
  <c r="AD20" i="52"/>
  <c r="AH32" i="52"/>
  <c r="Z32" i="52"/>
  <c r="I32" i="52"/>
  <c r="Q32" i="52"/>
  <c r="AL32" i="52"/>
  <c r="M32" i="52"/>
  <c r="AD32" i="52"/>
  <c r="U32" i="52"/>
  <c r="I20" i="52"/>
  <c r="E61" i="50"/>
  <c r="E62" i="50" s="1"/>
  <c r="E15" i="53"/>
  <c r="M20" i="52"/>
  <c r="U20" i="52"/>
  <c r="E13" i="53"/>
  <c r="C61" i="50"/>
  <c r="C62" i="50" s="1"/>
  <c r="E14" i="53"/>
  <c r="D61" i="50"/>
  <c r="D62" i="50" s="1"/>
  <c r="F61" i="50"/>
  <c r="F62" i="50" s="1"/>
  <c r="E16" i="53"/>
  <c r="F60" i="50" l="1"/>
  <c r="M57" i="50" s="1"/>
  <c r="D60" i="50"/>
  <c r="K57" i="50" s="1"/>
  <c r="C60" i="50"/>
  <c r="J57" i="50" s="1"/>
  <c r="E60" i="50"/>
  <c r="L57" i="50" s="1"/>
  <c r="M60" i="52"/>
  <c r="M62" i="52" s="1"/>
  <c r="AD60" i="52"/>
  <c r="AD69" i="52" s="1"/>
  <c r="U60" i="52"/>
  <c r="U66" i="52" s="1"/>
  <c r="AH60" i="52"/>
  <c r="AH66" i="52" s="1"/>
  <c r="AL60" i="52"/>
  <c r="Q60" i="52"/>
  <c r="Q66" i="52" s="1"/>
  <c r="I60" i="52"/>
  <c r="I62" i="52" s="1"/>
  <c r="AD65" i="52"/>
  <c r="Z60" i="52"/>
  <c r="Z62" i="52" s="1"/>
  <c r="I65" i="52"/>
  <c r="C13" i="55"/>
  <c r="C7" i="57" s="1"/>
  <c r="AD62" i="52" l="1"/>
  <c r="M68" i="52"/>
  <c r="M66" i="52"/>
  <c r="AD66" i="52"/>
  <c r="U62" i="52"/>
  <c r="F7" i="50" s="1"/>
  <c r="F10" i="50" s="1"/>
  <c r="Z66" i="52"/>
  <c r="U68" i="52"/>
  <c r="Q62" i="52"/>
  <c r="E7" i="50" s="1"/>
  <c r="Q68" i="52"/>
  <c r="D7" i="50"/>
  <c r="D18" i="50" s="1"/>
  <c r="D23" i="50" s="1"/>
  <c r="E5" i="54" s="1"/>
  <c r="K7" i="57"/>
  <c r="K9" i="57" s="1"/>
  <c r="D21" i="57" s="1"/>
  <c r="G7" i="57"/>
  <c r="G9" i="57" s="1"/>
  <c r="D19" i="57" s="1"/>
  <c r="I7" i="57"/>
  <c r="I9" i="57" s="1"/>
  <c r="D20" i="57" s="1"/>
  <c r="E7" i="57"/>
  <c r="C9" i="57"/>
  <c r="C19" i="55"/>
  <c r="I68" i="52"/>
  <c r="I66" i="52"/>
  <c r="C7" i="50"/>
  <c r="C18" i="50" s="1"/>
  <c r="C23" i="50" s="1"/>
  <c r="D5" i="54" s="1"/>
  <c r="F9" i="55"/>
  <c r="F13" i="55" s="1"/>
  <c r="F16" i="55" s="1"/>
  <c r="G27" i="56"/>
  <c r="G30" i="56" s="1"/>
  <c r="F27" i="56"/>
  <c r="F30" i="56" s="1"/>
  <c r="E27" i="56"/>
  <c r="E30" i="56" s="1"/>
  <c r="D9" i="55"/>
  <c r="D13" i="55" s="1"/>
  <c r="D16" i="55" s="1"/>
  <c r="D27" i="56"/>
  <c r="D30" i="56" s="1"/>
  <c r="E9" i="55"/>
  <c r="E13" i="55" s="1"/>
  <c r="E16" i="55" s="1"/>
  <c r="C27" i="56"/>
  <c r="C30" i="56" s="1"/>
  <c r="G9" i="55"/>
  <c r="G13" i="55" s="1"/>
  <c r="G16" i="55" s="1"/>
  <c r="AH62" i="52"/>
  <c r="Z69" i="52"/>
  <c r="C42" i="50"/>
  <c r="C45" i="50" s="1"/>
  <c r="Z70" i="52"/>
  <c r="AL66" i="52"/>
  <c r="AL62" i="52"/>
  <c r="D42" i="50" l="1"/>
  <c r="D45" i="50" s="1"/>
  <c r="D47" i="50" s="1"/>
  <c r="E42" i="50"/>
  <c r="E45" i="50" s="1"/>
  <c r="E57" i="50" s="1"/>
  <c r="E58" i="50" s="1"/>
  <c r="L55" i="50" s="1"/>
  <c r="F42" i="50"/>
  <c r="F45" i="50" s="1"/>
  <c r="C57" i="50"/>
  <c r="C58" i="50" s="1"/>
  <c r="J55" i="50" s="1"/>
  <c r="C47" i="50"/>
  <c r="C46" i="50"/>
  <c r="F14" i="50"/>
  <c r="G4" i="54" s="1"/>
  <c r="F12" i="50"/>
  <c r="F11" i="50"/>
  <c r="D10" i="50"/>
  <c r="F18" i="50"/>
  <c r="F20" i="50" s="1"/>
  <c r="F25" i="50" s="1"/>
  <c r="F26" i="50" s="1"/>
  <c r="M54" i="50" s="1"/>
  <c r="D20" i="50"/>
  <c r="D25" i="50" s="1"/>
  <c r="C20" i="50"/>
  <c r="C25" i="50" s="1"/>
  <c r="E20" i="57"/>
  <c r="E19" i="57"/>
  <c r="E21" i="57"/>
  <c r="C24" i="55"/>
  <c r="C23" i="55"/>
  <c r="C10" i="50"/>
  <c r="M7" i="57"/>
  <c r="M9" i="57" s="1"/>
  <c r="E9" i="57"/>
  <c r="D18" i="57" s="1"/>
  <c r="E18" i="57" s="1"/>
  <c r="E50" i="50"/>
  <c r="C50" i="50"/>
  <c r="E10" i="50"/>
  <c r="E18" i="50"/>
  <c r="D50" i="50" l="1"/>
  <c r="D52" i="50" s="1"/>
  <c r="E46" i="50"/>
  <c r="D46" i="50"/>
  <c r="D57" i="50"/>
  <c r="D58" i="50" s="1"/>
  <c r="K55" i="50" s="1"/>
  <c r="F15" i="50"/>
  <c r="E47" i="50"/>
  <c r="F50" i="50"/>
  <c r="F52" i="50" s="1"/>
  <c r="C14" i="50"/>
  <c r="C15" i="50" s="1"/>
  <c r="C12" i="50"/>
  <c r="C11" i="50"/>
  <c r="D14" i="50"/>
  <c r="D15" i="50" s="1"/>
  <c r="D12" i="50"/>
  <c r="D11" i="50"/>
  <c r="F57" i="50"/>
  <c r="F58" i="50" s="1"/>
  <c r="M55" i="50" s="1"/>
  <c r="F47" i="50"/>
  <c r="F46" i="50"/>
  <c r="E14" i="50"/>
  <c r="E15" i="50" s="1"/>
  <c r="E12" i="50"/>
  <c r="E11" i="50"/>
  <c r="F23" i="50"/>
  <c r="G5" i="54" s="1"/>
  <c r="D26" i="50"/>
  <c r="K54" i="50" s="1"/>
  <c r="C26" i="50"/>
  <c r="J54" i="50" s="1"/>
  <c r="C55" i="50"/>
  <c r="E55" i="50"/>
  <c r="H5" i="54"/>
  <c r="E52" i="50"/>
  <c r="E23" i="50"/>
  <c r="F5" i="54" s="1"/>
  <c r="E20" i="50"/>
  <c r="E25" i="50" s="1"/>
  <c r="C52" i="50"/>
  <c r="D55" i="50" l="1"/>
  <c r="E4" i="54"/>
  <c r="F55" i="50"/>
  <c r="F4" i="54"/>
  <c r="D4" i="54"/>
  <c r="H4" i="54"/>
  <c r="E26" i="50"/>
  <c r="L54" i="50" s="1"/>
</calcChain>
</file>

<file path=xl/comments1.xml><?xml version="1.0" encoding="utf-8"?>
<comments xmlns="http://schemas.openxmlformats.org/spreadsheetml/2006/main">
  <authors>
    <author>Afeef Mahmood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genital ulcer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lower abdominal pain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vaginal discharge</t>
        </r>
      </text>
    </comment>
  </commentList>
</comments>
</file>

<file path=xl/comments2.xml><?xml version="1.0" encoding="utf-8"?>
<comments xmlns="http://schemas.openxmlformats.org/spreadsheetml/2006/main">
  <authors>
    <author>Afeef Mahmood</author>
  </authors>
  <commentList>
    <comment ref="D22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per mtr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box of 100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box of 50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500 depressors</t>
        </r>
      </text>
    </comment>
  </commentList>
</comments>
</file>

<file path=xl/comments3.xml><?xml version="1.0" encoding="utf-8"?>
<comments xmlns="http://schemas.openxmlformats.org/spreadsheetml/2006/main">
  <authors>
    <author>Afeef Mahmood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total pop</t>
        </r>
      </text>
    </comment>
  </commentList>
</comments>
</file>

<file path=xl/comments4.xml><?xml version="1.0" encoding="utf-8"?>
<comments xmlns="http://schemas.openxmlformats.org/spreadsheetml/2006/main">
  <authors>
    <author>Afeef Mahmood</author>
    <author>Afeef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Sindh Health Sector Strategy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PDHS 2008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PDHS 2008</t>
        </r>
      </text>
    </comment>
    <comment ref="A23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CBR = Index mundi</t>
        </r>
      </text>
    </comment>
    <comment ref="A30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presentation to DFID-P, Georgia </t>
        </r>
      </text>
    </comment>
    <comment ref="A31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Table 8.3, pg91, PDHS 2008</t>
        </r>
      </text>
    </comment>
    <comment ref="A32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Table 8.3, pg91, PDHS 2008</t>
        </r>
      </text>
    </comment>
    <comment ref="A33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Table 8.3, pg91, PDHS 2008</t>
        </r>
      </text>
    </comment>
  </commentList>
</comments>
</file>

<file path=xl/sharedStrings.xml><?xml version="1.0" encoding="utf-8"?>
<sst xmlns="http://schemas.openxmlformats.org/spreadsheetml/2006/main" count="2842" uniqueCount="973">
  <si>
    <t>Description</t>
  </si>
  <si>
    <t>Quantity</t>
  </si>
  <si>
    <t>Cost</t>
  </si>
  <si>
    <t>Unit</t>
  </si>
  <si>
    <t>Days</t>
  </si>
  <si>
    <t>Number of</t>
  </si>
  <si>
    <t>Units per dose</t>
  </si>
  <si>
    <t>Times</t>
  </si>
  <si>
    <t>Total</t>
  </si>
  <si>
    <t>Cost per treatment</t>
  </si>
  <si>
    <t>Benzyl Penicillin</t>
  </si>
  <si>
    <t>Ispaghula</t>
  </si>
  <si>
    <t>Benzoin compound</t>
  </si>
  <si>
    <t xml:space="preserve">Tincture </t>
  </si>
  <si>
    <t>Sodium Bicarbonate</t>
  </si>
  <si>
    <t>OPV</t>
  </si>
  <si>
    <t>Measles vaccine</t>
  </si>
  <si>
    <t>Hepatitis B vaccine</t>
  </si>
  <si>
    <t xml:space="preserve">Tetanus toxoid </t>
  </si>
  <si>
    <t>No.</t>
  </si>
  <si>
    <t>Acetaminophin (paracetamol)Tablet,500 mg Strip/blister</t>
  </si>
  <si>
    <t>Acetaminophin (paracetamol)Suppository 250 mg</t>
  </si>
  <si>
    <t>IbuprofenSyrup 100mg/5ml</t>
  </si>
  <si>
    <t>Details</t>
  </si>
  <si>
    <t>Rural Health Centre</t>
  </si>
  <si>
    <t>Antenatal Services</t>
  </si>
  <si>
    <t>Visit 1</t>
  </si>
  <si>
    <t>x</t>
  </si>
  <si>
    <t>Visit 2</t>
  </si>
  <si>
    <t>Visit 3</t>
  </si>
  <si>
    <t>Visit 4</t>
  </si>
  <si>
    <t>STIs</t>
  </si>
  <si>
    <t>Delivery Care</t>
  </si>
  <si>
    <t>Normal Delivery</t>
  </si>
  <si>
    <t>Assisted Vaginal Delivery</t>
  </si>
  <si>
    <t>Post Partum Care</t>
  </si>
  <si>
    <t>Management of PPH</t>
  </si>
  <si>
    <t>Care of Newborn</t>
  </si>
  <si>
    <t>Immediate care</t>
  </si>
  <si>
    <t>Care during the 1st day</t>
  </si>
  <si>
    <t>Child Health</t>
  </si>
  <si>
    <t>Growth Monitoring</t>
  </si>
  <si>
    <t>Management of ARI:</t>
  </si>
  <si>
    <t xml:space="preserve">   -child with cough and fever</t>
  </si>
  <si>
    <t xml:space="preserve">   -child with pneumonia</t>
  </si>
  <si>
    <t xml:space="preserve">   -child with severe pneumonia</t>
  </si>
  <si>
    <t xml:space="preserve">   -child with very severe disease</t>
  </si>
  <si>
    <t xml:space="preserve">   -child with wheeze</t>
  </si>
  <si>
    <t xml:space="preserve">   -child with ear infection</t>
  </si>
  <si>
    <t>Health education on ARI (per case)</t>
  </si>
  <si>
    <t>Management of Diarrhoea:</t>
  </si>
  <si>
    <t xml:space="preserve">   -with additional problems</t>
  </si>
  <si>
    <t>Dysentry</t>
  </si>
  <si>
    <t>Health education on Diarrhea/ORT</t>
  </si>
  <si>
    <t>Management of fever</t>
  </si>
  <si>
    <t>Management of severly ill child</t>
  </si>
  <si>
    <t>Visit for school health services</t>
  </si>
  <si>
    <t>Adoloscent health</t>
  </si>
  <si>
    <t>Health education to youth (as per defined package)</t>
  </si>
  <si>
    <t>Family Planning</t>
  </si>
  <si>
    <t>Counselling on family planning to enhance CPR</t>
  </si>
  <si>
    <t>Clinical examination</t>
  </si>
  <si>
    <t>Injections</t>
  </si>
  <si>
    <t>Insert IUCDs</t>
  </si>
  <si>
    <t>Oral Contraceptives</t>
  </si>
  <si>
    <t>Immunisation</t>
  </si>
  <si>
    <t>Routine immunisation</t>
  </si>
  <si>
    <t>Campaigns (NIDs)</t>
  </si>
  <si>
    <t>Motivating families</t>
  </si>
  <si>
    <t>Treatment of common injuries</t>
  </si>
  <si>
    <t>Wound dressing</t>
  </si>
  <si>
    <t>Snake bites</t>
  </si>
  <si>
    <t>Dog bites</t>
  </si>
  <si>
    <t>Fractures/dislocations</t>
  </si>
  <si>
    <t>Sprains/strains</t>
  </si>
  <si>
    <t>For accidents</t>
  </si>
  <si>
    <t>CPR</t>
  </si>
  <si>
    <t>Managemet and control of endemic communicable diseases</t>
  </si>
  <si>
    <t>Common cold and cough</t>
  </si>
  <si>
    <t>Acute Bronchitis</t>
  </si>
  <si>
    <t>Pneumonia</t>
  </si>
  <si>
    <t>Lower RTI</t>
  </si>
  <si>
    <t>Acute diarrhoea</t>
  </si>
  <si>
    <t>Chronic diarrhoea</t>
  </si>
  <si>
    <t>Health education on hand washing</t>
  </si>
  <si>
    <t>Identification of TB suspects</t>
  </si>
  <si>
    <t>Health education related to TB</t>
  </si>
  <si>
    <t>Clincal diagnosis of malaria</t>
  </si>
  <si>
    <t>Lab diagnosos of malaria</t>
  </si>
  <si>
    <t>Malaria related health education</t>
  </si>
  <si>
    <t>Common wounds and infections</t>
  </si>
  <si>
    <t>Scabies</t>
  </si>
  <si>
    <t>Diagnosis of STIs</t>
  </si>
  <si>
    <t>Lab diagnosis of STIs</t>
  </si>
  <si>
    <t>Diagnosis of Hepatitis</t>
  </si>
  <si>
    <t>Lab examination</t>
  </si>
  <si>
    <t>Health education on transmission of hepatitis</t>
  </si>
  <si>
    <t>Health education on transmission of HIV/AIDS</t>
  </si>
  <si>
    <t>Management and control endemic non communicable diseases</t>
  </si>
  <si>
    <t>Clinical diagnosis of hypertension</t>
  </si>
  <si>
    <t>Hypertension related health education</t>
  </si>
  <si>
    <t>Clinical diagnosis of diabetes mellitus</t>
  </si>
  <si>
    <t>Lab tests for diabetes mellitus</t>
  </si>
  <si>
    <t>Diabetes mellitus related health education</t>
  </si>
  <si>
    <t>Clinical diagnosis of asthma</t>
  </si>
  <si>
    <t>Lab tests for asthma</t>
  </si>
  <si>
    <t>Diagnosis of COPD</t>
  </si>
  <si>
    <t>Lab tests for COPD</t>
  </si>
  <si>
    <t>Clinical diagnosis cancer</t>
  </si>
  <si>
    <t>Disability Prevention</t>
  </si>
  <si>
    <t>Identification of visual impairment</t>
  </si>
  <si>
    <t>Identification of hearing disability</t>
  </si>
  <si>
    <t>Identificaiton of orthopedic disability</t>
  </si>
  <si>
    <t>Promotio of iodine salt</t>
  </si>
  <si>
    <t>Identificaiton of goiter</t>
  </si>
  <si>
    <t>Diagnosis of common eye diseases</t>
  </si>
  <si>
    <t>Refraction services</t>
  </si>
  <si>
    <t>Detection of cataract cases</t>
  </si>
  <si>
    <t>Mental Health</t>
  </si>
  <si>
    <t>Identificaiton of:</t>
  </si>
  <si>
    <t xml:space="preserve">   -attention defecit disorder</t>
  </si>
  <si>
    <t xml:space="preserve">   -obsessive compulsory behavior</t>
  </si>
  <si>
    <t xml:space="preserve">   -panic disorder</t>
  </si>
  <si>
    <t xml:space="preserve">   -bipolar disorder</t>
  </si>
  <si>
    <t xml:space="preserve">   -depression</t>
  </si>
  <si>
    <t xml:space="preserve">   -schizophrenia</t>
  </si>
  <si>
    <t xml:space="preserve">   -alcohol abuse and dependence</t>
  </si>
  <si>
    <t xml:space="preserve">   -drug abuse</t>
  </si>
  <si>
    <t>Oral Health Services</t>
  </si>
  <si>
    <t>Tooth extraction</t>
  </si>
  <si>
    <t>Scaling</t>
  </si>
  <si>
    <t>Filling</t>
  </si>
  <si>
    <t>Management of gingivitis and oral ailments</t>
  </si>
  <si>
    <t>LHV</t>
  </si>
  <si>
    <t>Optician</t>
  </si>
  <si>
    <t>Dental Surgeon</t>
  </si>
  <si>
    <t>Medical Officer</t>
  </si>
  <si>
    <t>Health Educator</t>
  </si>
  <si>
    <t>Medical Technician</t>
  </si>
  <si>
    <t>EPI Technician</t>
  </si>
  <si>
    <t>Laboratory Technician</t>
  </si>
  <si>
    <t>X-Ray Technician</t>
  </si>
  <si>
    <t>Midwife</t>
  </si>
  <si>
    <t>Dental Technician</t>
  </si>
  <si>
    <t>Sulfamethoxazole + TrimethoprimOral suspension 200mg+40mg/5ml</t>
  </si>
  <si>
    <t>CeftriaxoneInj. 250mg</t>
  </si>
  <si>
    <t>IbuprofenTablets 400mg Strip/blister</t>
  </si>
  <si>
    <t>Supplies</t>
  </si>
  <si>
    <t>Absorbent cotton wool, 500 g</t>
  </si>
  <si>
    <t>Crepe elastic bandage 7.5cm x 5m, per (roll)</t>
  </si>
  <si>
    <t>Gauze roll 90cm x 100M non-sterile, with selvedges, absorbent 100% cotton</t>
  </si>
  <si>
    <t>Crepe elastic bandage, cotton (crepe) 5cm x 5 meter, roll</t>
  </si>
  <si>
    <t>Dexon</t>
  </si>
  <si>
    <t>Silk braided</t>
  </si>
  <si>
    <t>Vicryl</t>
  </si>
  <si>
    <t>IV Cannula, short, 20G (1.1x32mm)</t>
  </si>
  <si>
    <t>IV Cannula, short, 22G (1.1x32mm)</t>
  </si>
  <si>
    <t>IV Cannula, short, 24 G (1.1x32mm)</t>
  </si>
  <si>
    <t>Others</t>
  </si>
  <si>
    <t>Unit Cost</t>
  </si>
  <si>
    <t>Total Cost</t>
  </si>
  <si>
    <t>DRUGS</t>
  </si>
  <si>
    <t>SUPPLIES</t>
  </si>
  <si>
    <t>LAB INVESTIGATIONS</t>
  </si>
  <si>
    <t>Services</t>
  </si>
  <si>
    <t>BHU</t>
  </si>
  <si>
    <t>RHC</t>
  </si>
  <si>
    <t>Rs.</t>
  </si>
  <si>
    <t>Laboratory Services</t>
  </si>
  <si>
    <t>A</t>
  </si>
  <si>
    <t xml:space="preserve">Hematology </t>
  </si>
  <si>
    <t>i</t>
  </si>
  <si>
    <t>Hemoglobin</t>
  </si>
  <si>
    <t>Yes</t>
  </si>
  <si>
    <t>ii</t>
  </si>
  <si>
    <t>Red and white blood cell count</t>
  </si>
  <si>
    <t>iii</t>
  </si>
  <si>
    <t>Differential cell count</t>
  </si>
  <si>
    <t>iv</t>
  </si>
  <si>
    <t>ESR</t>
  </si>
  <si>
    <t>v</t>
  </si>
  <si>
    <t>Hematocrit</t>
  </si>
  <si>
    <t>vi</t>
  </si>
  <si>
    <t>Malaria parasite smear (MPS)</t>
  </si>
  <si>
    <t>vii</t>
  </si>
  <si>
    <t>Bleeding time and coagulation time</t>
  </si>
  <si>
    <t>viii</t>
  </si>
  <si>
    <t>Blood grouping and Rh factors</t>
  </si>
  <si>
    <t>ix</t>
  </si>
  <si>
    <t xml:space="preserve">Hepatitis B </t>
  </si>
  <si>
    <t>Hepatitis C</t>
  </si>
  <si>
    <t>Syphilis</t>
  </si>
  <si>
    <t>HIV test</t>
  </si>
  <si>
    <t>B</t>
  </si>
  <si>
    <t>Bacteriology</t>
  </si>
  <si>
    <t>Ziehl-Nielsen staining for acid fast bacilli (AFB)</t>
  </si>
  <si>
    <t>Direct smear for AFB</t>
  </si>
  <si>
    <t>Gram’s staining</t>
  </si>
  <si>
    <t>C</t>
  </si>
  <si>
    <t>Serology</t>
  </si>
  <si>
    <t>Typhi dot</t>
  </si>
  <si>
    <t>D</t>
  </si>
  <si>
    <t>Clinical Pathology</t>
  </si>
  <si>
    <t>Urine analysis: physical exam</t>
  </si>
  <si>
    <t>Chemical exam: Albumin (qualitative)</t>
  </si>
  <si>
    <t>Chemical exam: Albumin (quantitative)</t>
  </si>
  <si>
    <t>Chemical exam: Glucose (qualitative)</t>
  </si>
  <si>
    <t>Chemical exam: Glucose (quantitative)</t>
  </si>
  <si>
    <t>Microscopic (stool test)</t>
  </si>
  <si>
    <t>Macroscopic (stool test)</t>
  </si>
  <si>
    <t>Pregnancy test</t>
  </si>
  <si>
    <t>E</t>
  </si>
  <si>
    <t>Biochemistry</t>
  </si>
  <si>
    <t>Blood-sugar test</t>
  </si>
  <si>
    <t>Urea test</t>
  </si>
  <si>
    <t>Creatinine test</t>
  </si>
  <si>
    <t>Total protein test</t>
  </si>
  <si>
    <t>Simple liver-function test</t>
  </si>
  <si>
    <t>Brucellosis</t>
  </si>
  <si>
    <t>F</t>
  </si>
  <si>
    <t>Gram Stain</t>
  </si>
  <si>
    <t>Body fluids</t>
  </si>
  <si>
    <t>Imaging Services</t>
  </si>
  <si>
    <t>X-Rays</t>
  </si>
  <si>
    <t>Chest</t>
  </si>
  <si>
    <t>Abdomen</t>
  </si>
  <si>
    <t>Skeletal</t>
  </si>
  <si>
    <t>Ultrasound</t>
  </si>
  <si>
    <t>BPS</t>
  </si>
  <si>
    <t>House Rent</t>
  </si>
  <si>
    <t>Min Pay</t>
  </si>
  <si>
    <t>Max Pay</t>
  </si>
  <si>
    <t>Average Pay</t>
  </si>
  <si>
    <t>Total Pay</t>
  </si>
  <si>
    <t>Annual increment</t>
  </si>
  <si>
    <t xml:space="preserve">Allowances </t>
  </si>
  <si>
    <t xml:space="preserve">Month </t>
  </si>
  <si>
    <t>Annum</t>
  </si>
  <si>
    <t xml:space="preserve"> </t>
  </si>
  <si>
    <t>Pay Scales</t>
  </si>
  <si>
    <t>Guard</t>
  </si>
  <si>
    <t>Nurse</t>
  </si>
  <si>
    <t>Categories</t>
  </si>
  <si>
    <t>Number</t>
  </si>
  <si>
    <t>tab</t>
  </si>
  <si>
    <t>capsule</t>
  </si>
  <si>
    <t>vial</t>
  </si>
  <si>
    <t>Antenatal Care (4 visits package)</t>
  </si>
  <si>
    <t>Postpartum Care (2 PNC visits)</t>
  </si>
  <si>
    <t>Post Partum Care (including immedeate care of newborn)</t>
  </si>
  <si>
    <t>Care of newborn</t>
  </si>
  <si>
    <t>Delivery Care: Normal</t>
  </si>
  <si>
    <t>Delivery Care: Assisted</t>
  </si>
  <si>
    <t>Child with cough</t>
  </si>
  <si>
    <t>ARI</t>
  </si>
  <si>
    <t>Counselling on FP, e0clusive BF and Hygiene</t>
  </si>
  <si>
    <t>Teaching and counselling monther/family about handwashing, cord care, e0clusive breast feeding, keeping the baby warm, completing immunisation, recognising danger signes and taking appropriate actions</t>
  </si>
  <si>
    <t>Sputum smear e0amination</t>
  </si>
  <si>
    <t>0-Ray for Smear negative</t>
  </si>
  <si>
    <t xml:space="preserve">   -generalized an0iety disorder</t>
  </si>
  <si>
    <t>Child with pneumonia</t>
  </si>
  <si>
    <t>Child with wheeze</t>
  </si>
  <si>
    <t>Child with ear infection</t>
  </si>
  <si>
    <t>Diarrhoea</t>
  </si>
  <si>
    <t xml:space="preserve">   -some deyhdration</t>
  </si>
  <si>
    <t xml:space="preserve">   -no deyhdration</t>
  </si>
  <si>
    <t>Child with no dehydration</t>
  </si>
  <si>
    <t>Child with some dehydration</t>
  </si>
  <si>
    <t>Fever</t>
  </si>
  <si>
    <t>Condoms: initial visit</t>
  </si>
  <si>
    <t>Oral Contraceptives: follow-up visit</t>
  </si>
  <si>
    <t>Oral Contraceptives: initial visit</t>
  </si>
  <si>
    <t>IUCD: follow-up visit</t>
  </si>
  <si>
    <t>IUCD: initial visit</t>
  </si>
  <si>
    <t>Injections: follow-up visit</t>
  </si>
  <si>
    <t>Injections: initial visit</t>
  </si>
  <si>
    <t>Condoms: follow-up visit</t>
  </si>
  <si>
    <t>EPI</t>
  </si>
  <si>
    <t>Polio drops</t>
  </si>
  <si>
    <t>Injection BCG</t>
  </si>
  <si>
    <t>Injection Pentavalent</t>
  </si>
  <si>
    <t>Measles</t>
  </si>
  <si>
    <t>Respiratory Problem</t>
  </si>
  <si>
    <t>GI Problems</t>
  </si>
  <si>
    <t>Tuberculosis</t>
  </si>
  <si>
    <t>T.B Diagnosis</t>
  </si>
  <si>
    <t>T.B Treatment: Category I</t>
  </si>
  <si>
    <t>T.B Treatment: Category II</t>
  </si>
  <si>
    <t>Malaria</t>
  </si>
  <si>
    <t>Typhoid</t>
  </si>
  <si>
    <t>Typhoid diagnosis and treatment</t>
  </si>
  <si>
    <t>Malaria diagnosis and treatment</t>
  </si>
  <si>
    <t>T.B diagnosis</t>
  </si>
  <si>
    <t>Leishmaniasis</t>
  </si>
  <si>
    <t>Leishmaniasis: diagnosis and treatment</t>
  </si>
  <si>
    <t>Brucellosis: diagnosis  and treatment</t>
  </si>
  <si>
    <t>Trachoma</t>
  </si>
  <si>
    <t>Trachoma: diagnosis and treatment</t>
  </si>
  <si>
    <t>Rural Health Centre: Time Esitmates by Health Worker</t>
  </si>
  <si>
    <t>Ferrous sulphate/fumerate+ folic acidTablet , equivalent to 60 mgiron+ folic acid 0.5mg</t>
  </si>
  <si>
    <t>dose</t>
  </si>
  <si>
    <t>Record</t>
  </si>
  <si>
    <t>ANC</t>
  </si>
  <si>
    <t>Month</t>
  </si>
  <si>
    <t>Hour</t>
  </si>
  <si>
    <t>Minute</t>
  </si>
  <si>
    <t>Salary</t>
  </si>
  <si>
    <t>Acetaminophin (paracetamol)Syrup, 250 mg /5 ml</t>
  </si>
  <si>
    <t>ml</t>
  </si>
  <si>
    <t>Acetyl salicylic acid (aspirin)Tablet 500mg</t>
  </si>
  <si>
    <t>Activated charcoal powderPowder</t>
  </si>
  <si>
    <t xml:space="preserve">AdrenalineInj. </t>
  </si>
  <si>
    <t>AdrenalineInj. 1mg/ml</t>
  </si>
  <si>
    <t xml:space="preserve">AlbendazoleTab 400mg </t>
  </si>
  <si>
    <t>Aluminium Hydroxide +Magnesium HydroxideSusp. Aluminium, Hydroxide200mg+Magnesium Hydroxide 200mg/5ml</t>
  </si>
  <si>
    <t>AminophyllinInj. 250mg</t>
  </si>
  <si>
    <t>Amoxicillin + Clavulanic acidSyp. 125 + 31.25</t>
  </si>
  <si>
    <t>Amoxicillin + Clavulanic acidTablet 500 mg + 125 mg</t>
  </si>
  <si>
    <t>AmoxicillinCapsule or tablet, 250 mg (anhydrous) Strip/blister</t>
  </si>
  <si>
    <t>AmoxicillinPowder for oral suspension, 250 mg/5ml</t>
  </si>
  <si>
    <t>AmpicillinInj.250mg</t>
  </si>
  <si>
    <t>inj</t>
  </si>
  <si>
    <t>Angiotensin inhibitor (enalapril maleate)5mg</t>
  </si>
  <si>
    <t>ArtesunateTab. 50mg</t>
  </si>
  <si>
    <t>Ascorbic AcidTab. 100mg</t>
  </si>
  <si>
    <t>Atenolol 50mg</t>
  </si>
  <si>
    <t>Atropine SulphateInjection 0.5 mg/ ml Amp of 1ml</t>
  </si>
  <si>
    <t>AtropineInj. Atropine 1mg</t>
  </si>
  <si>
    <t>BCG</t>
  </si>
  <si>
    <t>B-ComplexSyp. B.Complex with Lysine120ml</t>
  </si>
  <si>
    <t>B-ComplexTab.B-Complex+Minerals</t>
  </si>
  <si>
    <t>Benzoic Acid +Salicylic AcidOintment or Cream 6% + 3%</t>
  </si>
  <si>
    <t>Benzoyl benzoateLotion 25%</t>
  </si>
  <si>
    <t>BisacodylTablet 5mg</t>
  </si>
  <si>
    <t>CalaminLotion 15%</t>
  </si>
  <si>
    <t>Calcium LactateTab. 10mg</t>
  </si>
  <si>
    <t xml:space="preserve">ChloramphenicolEar drops </t>
  </si>
  <si>
    <t>ChloramphenicolEye drops 0.5%</t>
  </si>
  <si>
    <t>ChloramphenicolEye-oint. 1%</t>
  </si>
  <si>
    <t>Chlorine Concentrated solution or powder</t>
  </si>
  <si>
    <t>ChloroquineSyrup, 50 mg/5ml (as phosphate or sulphate)</t>
  </si>
  <si>
    <t>ChloroquineTablet, 150 mg (as phosphate or sulfate) Strip/blister</t>
  </si>
  <si>
    <t>ChlorpheniramineSyrup ,2 mg /5 ml</t>
  </si>
  <si>
    <t>ChlorpheniramineTablet , 4 mg Strip/blister</t>
  </si>
  <si>
    <t>CiprofloxacinTab. 500mg</t>
  </si>
  <si>
    <t>Clotrimazole1 % Cream</t>
  </si>
  <si>
    <t>gm</t>
  </si>
  <si>
    <t>DexamethasoneTablet 0.5mg Strip/blister</t>
  </si>
  <si>
    <t>DextranInjection 6%</t>
  </si>
  <si>
    <t>DextroseInfusion 5% 1000ml</t>
  </si>
  <si>
    <t>DextroseInfusion 5% 500ml</t>
  </si>
  <si>
    <t>DiazepamInjection, 5 mg/ml in 2-ml ampoule</t>
  </si>
  <si>
    <t>DiazepamTab 5mg</t>
  </si>
  <si>
    <t>Diclofenac SodiumInjection 75mg/3ml</t>
  </si>
  <si>
    <t>amp</t>
  </si>
  <si>
    <t>Diclofenac SodiumTab. 50mg and 75 mg</t>
  </si>
  <si>
    <t>DigoxinTab. 250mcg</t>
  </si>
  <si>
    <t>Diloxanide FuroateTablets 500 mg</t>
  </si>
  <si>
    <t>DimenhydrinateInj. 10mg/2ml</t>
  </si>
  <si>
    <t>DimenhydrinateSyp.12.5mg/4ml</t>
  </si>
  <si>
    <t>DimenhydrinateTab.50mg</t>
  </si>
  <si>
    <t>Dispirin CV / LoprinTab. 75mg</t>
  </si>
  <si>
    <t>Doxycycline Cap. 100mg</t>
  </si>
  <si>
    <t>ErgometrineInj. 200mcg/ml</t>
  </si>
  <si>
    <t>ErythromycinSuspension 200mg/5ml</t>
  </si>
  <si>
    <t>ErythromycinTab. 250mg</t>
  </si>
  <si>
    <t>EthambutolTablet, 400 mg Strip/blister</t>
  </si>
  <si>
    <t>Ferrous SaltSyp. 25mg iron/ml</t>
  </si>
  <si>
    <t>FluoxetineCap 20mg</t>
  </si>
  <si>
    <t>cap</t>
  </si>
  <si>
    <t>Folic acidTab. 5mg</t>
  </si>
  <si>
    <t>FurosemideInjection Furosemide 20 mg/2ml (Amp of 2ml)</t>
  </si>
  <si>
    <t>FurosemideTablets 40 mg Strip/blister</t>
  </si>
  <si>
    <t xml:space="preserve">Gentian violetPaint 0.5%, </t>
  </si>
  <si>
    <t>GlibenclamideTab 5mg</t>
  </si>
  <si>
    <t>Glucose with sodium chlorideInjectable solution, 5% glucose, 0.18% sodium chloride 500ml with IV set</t>
  </si>
  <si>
    <t>Glucose with sodium chlorideInjectable solution, 5% glucose, 0.9% sodium chloride 1000ml with IV set</t>
  </si>
  <si>
    <t>GlycerineSuppository</t>
  </si>
  <si>
    <t>Glyceryl TrinitrateSublingual Tab. 0.5 mg</t>
  </si>
  <si>
    <t>GriseofulvinCapsules or Tablets 125 mg,</t>
  </si>
  <si>
    <t>HaemaccelInjectable solution 500ml With</t>
  </si>
  <si>
    <t>HydrochlorthiazideTablets 50 mg</t>
  </si>
  <si>
    <t>HydrocortisonePowder for inj.250mg (assodium succinate )in vial</t>
  </si>
  <si>
    <t>HydrocortisonePowder for injection , 100mg(as sodium succinate )in vial</t>
  </si>
  <si>
    <t>Hydrogen peroxideSoln. 6%</t>
  </si>
  <si>
    <t>Hyoscine butyl bromideInj. 20mg/2ml</t>
  </si>
  <si>
    <t>Hyoscine butyl bromideTablet10 mg</t>
  </si>
  <si>
    <t>Insulin Inj. 100 IU/ml</t>
  </si>
  <si>
    <t>InsulinInj. 40 IU/ml</t>
  </si>
  <si>
    <t>Isoniazide + EthambutolTablet, 150 mg + 400 mg Strip/blister</t>
  </si>
  <si>
    <t>IsoniazideTab 100mg</t>
  </si>
  <si>
    <t>IsosorbidedinitrateInj. 10mg/10ml</t>
  </si>
  <si>
    <t>IspaghullaIspaghulla Husk</t>
  </si>
  <si>
    <t>Levonorgestrel + ethinyl oestradiol Tab. 150mg + 30mg</t>
  </si>
  <si>
    <t>LevonorgestrelTab 30mcg, 750mcg, 1.5mg</t>
  </si>
  <si>
    <t>lignocaineInjection,2%(hydrochloride)in 10 -ml ampoule</t>
  </si>
  <si>
    <t>lignocaineTopical forms, 2% (HCl)</t>
  </si>
  <si>
    <t>Magnesium sulphateInj. 500mg/ml</t>
  </si>
  <si>
    <t>MebendazoleSyp 100mg/5ml in 30ml</t>
  </si>
  <si>
    <t>MebendazoleTablet,100 mg Strip/blister</t>
  </si>
  <si>
    <t>Medroxyprogesterone acetate (12 weekly)Inj. 150mg</t>
  </si>
  <si>
    <t>MedroxyprogesteroneTab. 5mg</t>
  </si>
  <si>
    <t>MetforminTablet HCI 500 mg</t>
  </si>
  <si>
    <t>MethyldopaTab. 250mg</t>
  </si>
  <si>
    <t>MetronidazoleOral suspension, 200 mg (as benzoate)/5 ml</t>
  </si>
  <si>
    <t>MetronidazoleTablet, 400 mg Strip/blister</t>
  </si>
  <si>
    <t>MiconazoleOintment or Cream 2%</t>
  </si>
  <si>
    <t>MisoprostolTab. 200mcg</t>
  </si>
  <si>
    <t>Nalidixic AcidTablets 250 mg, 500 mg</t>
  </si>
  <si>
    <t>NaloxoneInj. 400mcg/ml</t>
  </si>
  <si>
    <t>Neomycin +BacitracinOintment 5 mg + 500 IU</t>
  </si>
  <si>
    <t>Norethisterone + ethinyl oestradiol Tab. 1mg + 35mcg</t>
  </si>
  <si>
    <t>Norethisterone enantate (8 weekly)Inj. 200mg/ml</t>
  </si>
  <si>
    <t>NorfloxacinTablets 400 mg</t>
  </si>
  <si>
    <t>NystatinOral drops100,000 iu/ml</t>
  </si>
  <si>
    <t>NystatinTab 500,000 iu,</t>
  </si>
  <si>
    <t>OestradiolTab. 0.5mg</t>
  </si>
  <si>
    <t>OmeprazoleCap. 20mg</t>
  </si>
  <si>
    <t>Oral rehydration salt, glucose-salt solutionDry mixture (reduceosmolarity / glucose 75 meq/ 1, Sodium 75 meq / 1, Chloride 65 meq / 1, Potassium 20 meq/ 1, Citrate 10 meq / 1) insachet for 1 liter of solution</t>
  </si>
  <si>
    <t>pack</t>
  </si>
  <si>
    <t>Oral rehydration salt, glucose-salt solutionDry mixture(WHO formula) in sachet for 1 liter of soln.</t>
  </si>
  <si>
    <t>OxytocinInj. 10IU/ml</t>
  </si>
  <si>
    <t xml:space="preserve">Pentavalent </t>
  </si>
  <si>
    <t>Permethrin Cream 2.5%</t>
  </si>
  <si>
    <t>Polymixin B +Bacitracin ZincPolymyxin B Sulphate</t>
  </si>
  <si>
    <t>PolymyxinB + Bacitracin ZincEye oint. 10,000iu+500iu</t>
  </si>
  <si>
    <t>PolymyxinB+LignocaineHClEar Drops PolymyxinB 10,000iu+ Lignocaine HCl 50mg</t>
  </si>
  <si>
    <t>Povidone iodineSolution , 10%</t>
  </si>
  <si>
    <t>Prednisolone tab 5 mg</t>
  </si>
  <si>
    <t>Primaquine Tab 5 mg</t>
  </si>
  <si>
    <t>PropranololTablet 40mg Strips/blister</t>
  </si>
  <si>
    <t>PyridoxineTab. 50mg</t>
  </si>
  <si>
    <t>RanitidineTablets 150 mg</t>
  </si>
  <si>
    <t>Rifampacin + Isoniazide + Pyrazinamide+EthamutolTab.,150mg+75mg+400mg+275mg strip/blister</t>
  </si>
  <si>
    <t>Rifampicin+IsoniazidTablet, 150 mg + 100 mg strip/blister</t>
  </si>
  <si>
    <t>Rifampicin+IsoniazidTablet, 300 mg + 150 mg Strip/blister</t>
  </si>
  <si>
    <t>Ringer's LactateInjectable solution 1000ml with IV set</t>
  </si>
  <si>
    <t>Ringer's LactateInjectable solution 500ml With IV set</t>
  </si>
  <si>
    <t>SalbutamolRespirator solution, for use in nebulizers, 5mg (as sulfate)/ml</t>
  </si>
  <si>
    <t xml:space="preserve">SalbutamolSyp. </t>
  </si>
  <si>
    <t>SalbutamolTablet 4mg</t>
  </si>
  <si>
    <t>Silver sulphadiazene1% cream</t>
  </si>
  <si>
    <t>Soda glycerineEar drops</t>
  </si>
  <si>
    <t>Sodium chlorideInjectable soln.0.9%isotonic1000ml</t>
  </si>
  <si>
    <t>Spironolactone 25mg tab</t>
  </si>
  <si>
    <t>StreptomycinPowder for injection, 1g (assulfate) in vial</t>
  </si>
  <si>
    <t>Sulfadoxin+PyrimethamineSyp. Sulfadoxin500mg+Pyrimethamine25mg/5ml</t>
  </si>
  <si>
    <t>Sulfadoxin+PyrimethamineTab. Sulfadoxin500mg+Pyrimethamine25mg</t>
  </si>
  <si>
    <t>Sulfamethoxazole + TrimethoprimTablet, 400 mg + 80mg strip/blister</t>
  </si>
  <si>
    <t>SulphacetamideEye drops 10% in 10ml</t>
  </si>
  <si>
    <t>Tetracycline Eye oint. 1%</t>
  </si>
  <si>
    <t>mg</t>
  </si>
  <si>
    <t>Tetracycline Oint. 1%</t>
  </si>
  <si>
    <t>TetracyclineCapsules 250 mg</t>
  </si>
  <si>
    <t>TheophyllinTab.SR 350mg</t>
  </si>
  <si>
    <t>TinidazoleTablets 500 mg</t>
  </si>
  <si>
    <t>TremadolInj. 100 mg</t>
  </si>
  <si>
    <t>TriprolidineHCl. +Pseudoephedrine HCl +Dextromethorphan HBr.Syrup 5ml</t>
  </si>
  <si>
    <t>Vitamin ATab. 50,000iu</t>
  </si>
  <si>
    <t xml:space="preserve">Zinc sulphateSyp </t>
  </si>
  <si>
    <t>Zinc sulphateTab 20mg</t>
  </si>
  <si>
    <t>Standard Packaging</t>
  </si>
  <si>
    <t>Standard package</t>
  </si>
  <si>
    <t>Cost (PKR)</t>
  </si>
  <si>
    <t>Useage per dose</t>
  </si>
  <si>
    <t>Qty</t>
  </si>
  <si>
    <t>Standard Package</t>
  </si>
  <si>
    <t>Cost per use (PKR)</t>
  </si>
  <si>
    <t>cost (PKR)</t>
  </si>
  <si>
    <t>unit</t>
  </si>
  <si>
    <t>Bandage gauze cotton, 10cm x 4m, with selvedge,</t>
  </si>
  <si>
    <t xml:space="preserve">Bandage, elastic cotton crepe, 7.5cm x 5m, roll </t>
  </si>
  <si>
    <t>bandage</t>
  </si>
  <si>
    <t>roll</t>
  </si>
  <si>
    <t>Foley catheter sterile CH 18</t>
  </si>
  <si>
    <t>Foley catheter, sterile CH 10</t>
  </si>
  <si>
    <t>foley</t>
  </si>
  <si>
    <t>Foley catheter, sterile CH 12</t>
  </si>
  <si>
    <t>Foley catheter, sterile CH 14</t>
  </si>
  <si>
    <t>Foley catheter, sterile CH 16</t>
  </si>
  <si>
    <t>Gauze bandage 5cmx10m, absorbent wow</t>
  </si>
  <si>
    <t>Gauze pad / compress 10cm x 10cm, 12 ply sterile</t>
  </si>
  <si>
    <t>mtr</t>
  </si>
  <si>
    <t>Glove, examination, latex, non-sterile</t>
  </si>
  <si>
    <t>box</t>
  </si>
  <si>
    <t>cannula</t>
  </si>
  <si>
    <t>Needle disp 19G (1.1x40mm)</t>
  </si>
  <si>
    <t>Needle disp 21G (0.8x40mm)</t>
  </si>
  <si>
    <t>Needle disp 22G (0.7x30mm)</t>
  </si>
  <si>
    <t>Needle disp 23G (0.6x25mm)</t>
  </si>
  <si>
    <t>Needle disp 25G (0.5x16mm)</t>
  </si>
  <si>
    <t>Needle Luer, IM, disposable, 21G (0.8x38mm)</t>
  </si>
  <si>
    <t>Needle, scalp vein infusion set, disposable, 25 G (0.5x19mm)</t>
  </si>
  <si>
    <t>Razor safety, stainless steel</t>
  </si>
  <si>
    <t>dozen</t>
  </si>
  <si>
    <t>Suction tube CH 10, 50cm, sterile, disp, PVC</t>
  </si>
  <si>
    <t>Suction tube CH 14, 50cm, sterile, disp, PVC</t>
  </si>
  <si>
    <t>Suction tube CH 16, 50cm, sterile, disp, PVC</t>
  </si>
  <si>
    <t>Suction tube CH 8, 50cm, sterile, disp, PVC</t>
  </si>
  <si>
    <t>Syringe 10 ml with needle</t>
  </si>
  <si>
    <t xml:space="preserve">Tape adhesive, Zinc Oxide, </t>
  </si>
  <si>
    <t>Tongue depressor (wooden), disposable</t>
  </si>
  <si>
    <t>Syringe 5cc, Luer, sterile disposable, two piece (P/P or PEF)</t>
  </si>
  <si>
    <t>Syringe 50/60cc, Luer lock sterile disp, concentric tip</t>
  </si>
  <si>
    <t>Medicines</t>
  </si>
  <si>
    <t>Medicine List and Per Unit Cost</t>
  </si>
  <si>
    <t>Adj. Unit</t>
  </si>
  <si>
    <t>Adjustments</t>
  </si>
  <si>
    <t>Wastage</t>
  </si>
  <si>
    <t>Transportation</t>
  </si>
  <si>
    <t>Supplies List and Unit Cost</t>
  </si>
  <si>
    <t>adj.</t>
  </si>
  <si>
    <t>Chromic catgut sutures</t>
  </si>
  <si>
    <t>% cases</t>
  </si>
  <si>
    <t>Clean Delivery Kit</t>
  </si>
  <si>
    <t>Newborn Care</t>
  </si>
  <si>
    <t>Child with Pneumonia</t>
  </si>
  <si>
    <t>Child with Wheeze</t>
  </si>
  <si>
    <t>Child with Ear Infection</t>
  </si>
  <si>
    <t>Child with Diarrhea no Dehydration</t>
  </si>
  <si>
    <t>Child with Diarrhea and Some Dehydration</t>
  </si>
  <si>
    <t>Child with Dysentry</t>
  </si>
  <si>
    <t>Child with Fever</t>
  </si>
  <si>
    <t>Pneumococcal</t>
  </si>
  <si>
    <t>Syringe for immunisation</t>
  </si>
  <si>
    <t>Condoms Male</t>
  </si>
  <si>
    <t>IUCDs- Copper T</t>
  </si>
  <si>
    <t>1 piece</t>
  </si>
  <si>
    <t>cycle</t>
  </si>
  <si>
    <t>Family Planning: Condoms</t>
  </si>
  <si>
    <t>Family Planning: Oral Contraceptives</t>
  </si>
  <si>
    <t>Family Planning: Injectables</t>
  </si>
  <si>
    <t>Endemic Communicable: Common Cold</t>
  </si>
  <si>
    <t>Endemic Communicable: Acute Bronchitis</t>
  </si>
  <si>
    <t>Endemic Communicable: Pneumonia</t>
  </si>
  <si>
    <t>Endemic Communicable: Diarrhea and Dysentry</t>
  </si>
  <si>
    <t>Endemic Communicable: TB Treatment</t>
  </si>
  <si>
    <t>Endemic Communicable: TB Diagnosis</t>
  </si>
  <si>
    <t>Endemic Communicable: Malaria</t>
  </si>
  <si>
    <t>Endemic Communicable: Typhoid</t>
  </si>
  <si>
    <t>Endemic Communicable: Sexually Transmitted Infections</t>
  </si>
  <si>
    <t>Benzyl Penicillin 1.2 MIU</t>
  </si>
  <si>
    <t>1 vial</t>
  </si>
  <si>
    <t>Endemic Communicable: Trachoma</t>
  </si>
  <si>
    <t>g</t>
  </si>
  <si>
    <t>Sexually Transmitted Infections</t>
  </si>
  <si>
    <t>Endemic Communicable: Urinary Tract Infection</t>
  </si>
  <si>
    <t>Urinary Tract Infection</t>
  </si>
  <si>
    <t>Nutrition: Vitamin A Supplementation</t>
  </si>
  <si>
    <t>Total Population</t>
  </si>
  <si>
    <t>Male Population</t>
  </si>
  <si>
    <t>Female Population</t>
  </si>
  <si>
    <t>MWRA</t>
  </si>
  <si>
    <t>Children Under 5</t>
  </si>
  <si>
    <t>Children 12-23 months</t>
  </si>
  <si>
    <t>WRA</t>
  </si>
  <si>
    <t>Live Births</t>
  </si>
  <si>
    <t>MMR (per 100,000 LB)</t>
  </si>
  <si>
    <t>NMR (per 1,000 LB)</t>
  </si>
  <si>
    <t>IMR (per 1,000 LB)</t>
  </si>
  <si>
    <t>U5MR</t>
  </si>
  <si>
    <t>Maternal Deaths</t>
  </si>
  <si>
    <t>Infant Deaths</t>
  </si>
  <si>
    <t>Neonatal Deaths (less than 28 days)</t>
  </si>
  <si>
    <t>Under 5 Deaths</t>
  </si>
  <si>
    <t>Salaries: Direct</t>
  </si>
  <si>
    <t>Salaries: Indirect</t>
  </si>
  <si>
    <t>Operational Cost</t>
  </si>
  <si>
    <t>Management Overhead</t>
  </si>
  <si>
    <t>Delivery</t>
  </si>
  <si>
    <t>Postpartum</t>
  </si>
  <si>
    <t>Child: Pneumonia</t>
  </si>
  <si>
    <t>Child: Wheeze</t>
  </si>
  <si>
    <t>Child: Ear infection</t>
  </si>
  <si>
    <t>Child: Diarrhea (some dehydration)</t>
  </si>
  <si>
    <t>Child: Diarrhea (no dehydration)</t>
  </si>
  <si>
    <t>Child: Dysentry</t>
  </si>
  <si>
    <t>Child: Fever</t>
  </si>
  <si>
    <t>Fully Immunised Child</t>
  </si>
  <si>
    <t>Family Planning: Pills</t>
  </si>
  <si>
    <t>Family Planning: Injection</t>
  </si>
  <si>
    <t>Family Planning: IUD</t>
  </si>
  <si>
    <t>Endemic Communicable Disease: Common cold and cough</t>
  </si>
  <si>
    <t>Endemic Communicable Disease: Acute Bronchitis</t>
  </si>
  <si>
    <t>Endemic Communicable Disease: Pneumonia</t>
  </si>
  <si>
    <t>Endemic Communicable Disease: GI Problems</t>
  </si>
  <si>
    <t>Endemic Communicable Disease: TB Diagnosis</t>
  </si>
  <si>
    <t>Endemic Communicable Disease: TB Treatment</t>
  </si>
  <si>
    <t>Endemic Communicable Disease: Malaria</t>
  </si>
  <si>
    <t>Endemic Communicable Disease: Typhoid</t>
  </si>
  <si>
    <t>Endemic Communicable Disease: Sexually Transmitted Infections</t>
  </si>
  <si>
    <t>Endemic Communicable Disease: Urinary Tract Infection</t>
  </si>
  <si>
    <t>Hepatitus B</t>
  </si>
  <si>
    <t xml:space="preserve">Vitamin A Supplementaion </t>
  </si>
  <si>
    <t>Endemic Communicable Disease: Trachoma</t>
  </si>
  <si>
    <t>Salaries</t>
  </si>
  <si>
    <t xml:space="preserve">Lab </t>
  </si>
  <si>
    <t>Total Indirect Salaries</t>
  </si>
  <si>
    <t xml:space="preserve">Total </t>
  </si>
  <si>
    <t>Total Direct Salaries</t>
  </si>
  <si>
    <t>Indirect Salaries Charge Rate</t>
  </si>
  <si>
    <t>Diarrhea/Dysentry</t>
  </si>
  <si>
    <t>FP Condoms</t>
  </si>
  <si>
    <t>FP Oral</t>
  </si>
  <si>
    <t>FP Injection</t>
  </si>
  <si>
    <t>FP IUD</t>
  </si>
  <si>
    <t>Other RI</t>
  </si>
  <si>
    <t>GI</t>
  </si>
  <si>
    <t>T.B Treatment</t>
  </si>
  <si>
    <t>Malaria: diagnosis</t>
  </si>
  <si>
    <t>Malaria:treatment</t>
  </si>
  <si>
    <t>UTI</t>
  </si>
  <si>
    <t>Worm infestation</t>
  </si>
  <si>
    <t>Hypertension</t>
  </si>
  <si>
    <t>Other skin Infection</t>
  </si>
  <si>
    <t>Diabetes</t>
  </si>
  <si>
    <t>Other Eye Diseases</t>
  </si>
  <si>
    <t>Dental</t>
  </si>
  <si>
    <t>Emergecy First Aid</t>
  </si>
  <si>
    <t>Inflation</t>
  </si>
  <si>
    <t>Electricity</t>
  </si>
  <si>
    <t>Communication</t>
  </si>
  <si>
    <t>Rent</t>
  </si>
  <si>
    <t>Repairs and Maintenance</t>
  </si>
  <si>
    <t>POL</t>
  </si>
  <si>
    <t>Vehicle Maintenance</t>
  </si>
  <si>
    <t>Other Stores</t>
  </si>
  <si>
    <t>Operating Expenditure</t>
  </si>
  <si>
    <t>Depreciation</t>
  </si>
  <si>
    <t>PKR</t>
  </si>
  <si>
    <t>Total Cost per Case</t>
  </si>
  <si>
    <t xml:space="preserve">Medicines, Supplies&amp;Lab </t>
  </si>
  <si>
    <t>USD</t>
  </si>
  <si>
    <t>USD Exchnage</t>
  </si>
  <si>
    <t>Cost Per Service Provided</t>
  </si>
  <si>
    <t>1 call per worker each day x total workers x working days x average x cost per call</t>
  </si>
  <si>
    <t>Rent as replacement cost to construction</t>
  </si>
  <si>
    <t>Lumpsum</t>
  </si>
  <si>
    <t>Expenditure Category</t>
  </si>
  <si>
    <t>Monthly</t>
  </si>
  <si>
    <t>Annual</t>
  </si>
  <si>
    <t>Notes</t>
  </si>
  <si>
    <t>Operational Cost as % of staff cost</t>
  </si>
  <si>
    <t>Operational Expenditure</t>
  </si>
  <si>
    <t>Test</t>
  </si>
  <si>
    <t>Diagnostics and Cost</t>
  </si>
  <si>
    <t>Medicines and Supplies</t>
  </si>
  <si>
    <t>Catchment Population</t>
  </si>
  <si>
    <t>Equipment Maintenance</t>
  </si>
  <si>
    <t>Items</t>
  </si>
  <si>
    <t xml:space="preserve">Stethoscope </t>
  </si>
  <si>
    <t>Clinical thermometer</t>
  </si>
  <si>
    <t>Examination torch</t>
  </si>
  <si>
    <t>ENT diagnostic set</t>
  </si>
  <si>
    <t>Examination couch</t>
  </si>
  <si>
    <t>Revolving stool</t>
  </si>
  <si>
    <t>ORS measuring jug</t>
  </si>
  <si>
    <t>Tape measure for nutrition assessment</t>
  </si>
  <si>
    <t>Tuning fork</t>
  </si>
  <si>
    <t>Patella hammer</t>
  </si>
  <si>
    <t>Dressing trays</t>
  </si>
  <si>
    <t>Dressing scissors</t>
  </si>
  <si>
    <t>Kidney tray- large size</t>
  </si>
  <si>
    <t>Bowl large size</t>
  </si>
  <si>
    <t>Screen four fold</t>
  </si>
  <si>
    <t>Cold box refrigerator for EPI</t>
  </si>
  <si>
    <t xml:space="preserve">Breast pumps </t>
  </si>
  <si>
    <t>Stretcher</t>
  </si>
  <si>
    <t>Tourniquet</t>
  </si>
  <si>
    <t>Red buckets (infectious waste)</t>
  </si>
  <si>
    <t>Bed with side table/locker</t>
  </si>
  <si>
    <t>Baby cots</t>
  </si>
  <si>
    <t>Patient trolley</t>
  </si>
  <si>
    <t>Peak flow meter</t>
  </si>
  <si>
    <t>Bedding clothing</t>
  </si>
  <si>
    <t>Foam mattress</t>
  </si>
  <si>
    <t>Adult blankets</t>
  </si>
  <si>
    <t>Plastic chairs (for in-patient attendants)</t>
  </si>
  <si>
    <t>Normal delivery set</t>
  </si>
  <si>
    <t>D&amp;C set</t>
  </si>
  <si>
    <t>ILR/Deep Freezer</t>
  </si>
  <si>
    <t>Ice box</t>
  </si>
  <si>
    <t>Ice packs</t>
  </si>
  <si>
    <t>Centrifuge machine</t>
  </si>
  <si>
    <t>Stop watch</t>
  </si>
  <si>
    <t>Refrigerator</t>
  </si>
  <si>
    <t>Binocular microscope</t>
  </si>
  <si>
    <t>Glucometer</t>
  </si>
  <si>
    <t>Dental hand instruments (set)</t>
  </si>
  <si>
    <t>Dental Autoclave</t>
  </si>
  <si>
    <t>Dental X-ray unit</t>
  </si>
  <si>
    <t>Intraoral X-ray film processor</t>
  </si>
  <si>
    <t>X-ray view box</t>
  </si>
  <si>
    <t>Ultrasonic scaler</t>
  </si>
  <si>
    <t>Dental operating stool</t>
  </si>
  <si>
    <t>Dressing Drum( large size)</t>
  </si>
  <si>
    <t>Metallic Catheter (1-12)</t>
  </si>
  <si>
    <t>Hot Water Bottles</t>
  </si>
  <si>
    <t>Direct opthalmoscope</t>
  </si>
  <si>
    <t>Illuminated vision testing drum</t>
  </si>
  <si>
    <t>Trial lens sets with trial frames</t>
  </si>
  <si>
    <t>Battery operated torch</t>
  </si>
  <si>
    <t>Office Table with 3 Drawers</t>
  </si>
  <si>
    <t>Office Chairs</t>
  </si>
  <si>
    <t>Office Rack Wooden</t>
  </si>
  <si>
    <t>Steel Almirah</t>
  </si>
  <si>
    <t>Computer with accessories, including internet access</t>
  </si>
  <si>
    <t>Ambulance</t>
  </si>
  <si>
    <t>Gas stove/ cylinder</t>
  </si>
  <si>
    <t>Equipment</t>
  </si>
  <si>
    <t>Total Cost (PKR)</t>
  </si>
  <si>
    <t>Depreciation (PKR)</t>
  </si>
  <si>
    <t>Stationery and printing</t>
  </si>
  <si>
    <t>Antenatal Care (4 visits)</t>
  </si>
  <si>
    <t>Postpartum (including 2 PNC visits)</t>
  </si>
  <si>
    <t>Population</t>
  </si>
  <si>
    <t>Eye Related</t>
  </si>
  <si>
    <t>Buffer Stock</t>
  </si>
  <si>
    <t>prevelance/incidence</t>
  </si>
  <si>
    <t>cases</t>
  </si>
  <si>
    <t>cost</t>
  </si>
  <si>
    <t>Target Population</t>
  </si>
  <si>
    <t>Medicines, Supplies, Lab</t>
  </si>
  <si>
    <t>p</t>
  </si>
  <si>
    <t>c</t>
  </si>
  <si>
    <t>Preventive</t>
  </si>
  <si>
    <t>Curative</t>
  </si>
  <si>
    <t>Cost per Capita</t>
  </si>
  <si>
    <t>Fixed Costs</t>
  </si>
  <si>
    <t>Variable Costs</t>
  </si>
  <si>
    <t>Capacity Utilisation</t>
  </si>
  <si>
    <t>Hours available</t>
  </si>
  <si>
    <t>Doctor</t>
  </si>
  <si>
    <t>Cases at standard time</t>
  </si>
  <si>
    <t>normal</t>
  </si>
  <si>
    <t>Cases</t>
  </si>
  <si>
    <t>Cost excluding prinitng</t>
  </si>
  <si>
    <t>Cost Per Capita</t>
  </si>
  <si>
    <t>Fixed and Variable Costs</t>
  </si>
  <si>
    <t>Additional Facilities Required</t>
  </si>
  <si>
    <t>Variable Cost</t>
  </si>
  <si>
    <t xml:space="preserve">Fixed Cost </t>
  </si>
  <si>
    <t>Total Cost per Capita</t>
  </si>
  <si>
    <t>variable cost</t>
  </si>
  <si>
    <t>fixed cost</t>
  </si>
  <si>
    <t>40,000</t>
  </si>
  <si>
    <t>75,000</t>
  </si>
  <si>
    <t>125,000</t>
  </si>
  <si>
    <t>175,000</t>
  </si>
  <si>
    <t>200,000</t>
  </si>
  <si>
    <t>Sensitivity: +7.5%</t>
  </si>
  <si>
    <t>Sensitivity: -7.5%</t>
  </si>
  <si>
    <t>Increase Coverage from Baseline by:</t>
  </si>
  <si>
    <t>Change Salaries by:</t>
  </si>
  <si>
    <t>Change Operational cost by:</t>
  </si>
  <si>
    <t>Standard Estimates</t>
  </si>
  <si>
    <t>Scenario Projection</t>
  </si>
  <si>
    <t>Cost per capita: Scenario Projection</t>
  </si>
  <si>
    <t>Cost per capita: Standard Estimates</t>
  </si>
  <si>
    <t>Utilisation: Standard Estimates</t>
  </si>
  <si>
    <t>Utilisation: Scenario Projections</t>
  </si>
  <si>
    <t>Number of cases (excluding immunisation)</t>
  </si>
  <si>
    <t>Fully immunised children</t>
  </si>
  <si>
    <t>Running Cost</t>
  </si>
  <si>
    <t>Cost for treatment</t>
  </si>
  <si>
    <t>Cost for immunisation</t>
  </si>
  <si>
    <t>Cost per Delivery</t>
  </si>
  <si>
    <t>Cost per ANC package (4 visits)</t>
  </si>
  <si>
    <t>Cost per PNC package (2 visits)</t>
  </si>
  <si>
    <t>Cost per Newborn Care</t>
  </si>
  <si>
    <t>Cost per Child Pneumonia</t>
  </si>
  <si>
    <t>Cost per Child Wheeze</t>
  </si>
  <si>
    <t>Cost per Child Ear Infection</t>
  </si>
  <si>
    <t>Cost per Child Diarrhea</t>
  </si>
  <si>
    <t>Cost per Child Dysentry</t>
  </si>
  <si>
    <t>Cost per Child Fever</t>
  </si>
  <si>
    <t>Cost per Other treatments</t>
  </si>
  <si>
    <t>Weighted average treatment cost per case</t>
  </si>
  <si>
    <t>Running Cost Estimation</t>
  </si>
  <si>
    <t>Cost of Fully Immunised Child</t>
  </si>
  <si>
    <t>Fully Immunised Children</t>
  </si>
  <si>
    <t>Cost of treatment (exclduing immunisation)</t>
  </si>
  <si>
    <t>Variable Treatment Cost Estimation</t>
  </si>
  <si>
    <t>Cost of immunisation</t>
  </si>
  <si>
    <t>Summary</t>
  </si>
  <si>
    <t>Minimum Pricing with Immunisation</t>
  </si>
  <si>
    <t>Minimum Pricing without Immunisation</t>
  </si>
  <si>
    <t>Medicines, Supplies and Lab Investigation</t>
  </si>
  <si>
    <t>District Government</t>
  </si>
  <si>
    <t>Provincial Government</t>
  </si>
  <si>
    <t>Federal Government</t>
  </si>
  <si>
    <t>Development Partners</t>
  </si>
  <si>
    <t>(%)</t>
  </si>
  <si>
    <t>Financing Sources Estimation for Pricing Model</t>
  </si>
  <si>
    <t>user to enter (%) share from each source</t>
  </si>
  <si>
    <t>user to enter data</t>
  </si>
  <si>
    <t>Developed by: Afeef Mahmood</t>
  </si>
  <si>
    <t>Funded Through: Technical Resource Facility</t>
  </si>
  <si>
    <t>Syringe, 5 ml, with needle</t>
  </si>
  <si>
    <t>Vitamin K. Injection 10mg per 1 ml</t>
  </si>
  <si>
    <t>X-Ray</t>
  </si>
  <si>
    <t>Useful Life</t>
  </si>
  <si>
    <t>RHC+</t>
  </si>
  <si>
    <t>s</t>
  </si>
  <si>
    <t>Adult stethoscope</t>
  </si>
  <si>
    <t>e</t>
  </si>
  <si>
    <t>Adult weighing scale</t>
  </si>
  <si>
    <t>Aircushion Rubber</t>
  </si>
  <si>
    <t>Amalgamator</t>
  </si>
  <si>
    <t>Ambu Bag (child, adult, infant)</t>
  </si>
  <si>
    <t>Anaesthesia Machine</t>
  </si>
  <si>
    <t xml:space="preserve">Aprons/ Macintosh </t>
  </si>
  <si>
    <t>Forceps (8 inches, curved, straight, 6 inches, non-toothed, artery, chealte, dissecting, green armtage, kocher, mcgill, obstretic, outlet, sponge holder, tissue plain, toothed and 8 inches, valsellum)</t>
  </si>
  <si>
    <t>Aseptic Trolley</t>
  </si>
  <si>
    <t xml:space="preserve">Autoclaves </t>
  </si>
  <si>
    <t>Ayre’s spatula</t>
  </si>
  <si>
    <t xml:space="preserve">Baby blankets </t>
  </si>
  <si>
    <t>Baby weighing scale</t>
  </si>
  <si>
    <t>Basin</t>
  </si>
  <si>
    <t>Basin Stands</t>
  </si>
  <si>
    <t>Bed sheets</t>
  </si>
  <si>
    <t>Bedpans</t>
  </si>
  <si>
    <t>Bench fibre glass</t>
  </si>
  <si>
    <t>Benches for patient attendants</t>
  </si>
  <si>
    <t>Billirubino-meter</t>
  </si>
  <si>
    <t>Bio Chemistry Analyzer</t>
  </si>
  <si>
    <t>Blankets</t>
  </si>
  <si>
    <t>Blood Bag Shaker</t>
  </si>
  <si>
    <t>Blood Grouping Viewing Box</t>
  </si>
  <si>
    <t>Blood pressure cuff</t>
  </si>
  <si>
    <t>Blood Storage Cabinet (100 bag capacity)</t>
  </si>
  <si>
    <t>Blood Thawing Bath</t>
  </si>
  <si>
    <t>BP apparatus (mercury)</t>
  </si>
  <si>
    <t>BP Blades</t>
  </si>
  <si>
    <t>BP Handle</t>
  </si>
  <si>
    <t>Bulb Sucker</t>
  </si>
  <si>
    <t>Centrifuge Tubes (Glass)</t>
  </si>
  <si>
    <t>Centrifuge Tubes(Plastic)</t>
  </si>
  <si>
    <t>Chair for health worker</t>
  </si>
  <si>
    <t>Chairs for caretakers</t>
  </si>
  <si>
    <t>Chargeable Light</t>
  </si>
  <si>
    <t>Container for thermometer</t>
  </si>
  <si>
    <t>Couscous specula (Small, Medium, Large for each category)</t>
  </si>
  <si>
    <t>CTG (cardiac tocography)</t>
  </si>
  <si>
    <t>Defibrillator</t>
  </si>
  <si>
    <t>Dental unit (complete with chair, light, hand piece unit with hand pieces, suction and compressor</t>
  </si>
  <si>
    <t>Dissecting Scissors (curved) 7 inches</t>
  </si>
  <si>
    <t>DLC counter</t>
  </si>
  <si>
    <t>Double Cuff Tourniquet (for reginal block)</t>
  </si>
  <si>
    <t>Retractors (Doyene's, small, anterior vaginal wall)</t>
  </si>
  <si>
    <t xml:space="preserve">Dressing drum </t>
  </si>
  <si>
    <t>Episiotomy Scissors</t>
  </si>
  <si>
    <t>ESR Pipettes</t>
  </si>
  <si>
    <t>ESR Racks.</t>
  </si>
  <si>
    <t>Examination light</t>
  </si>
  <si>
    <t>Fetal Stethoscope</t>
  </si>
  <si>
    <t>Foam pillows</t>
  </si>
  <si>
    <t>Foot steps</t>
  </si>
  <si>
    <t>Gas Burner</t>
  </si>
  <si>
    <t>Glass Pipettes various sizes corrected</t>
  </si>
  <si>
    <t>Glass rods</t>
  </si>
  <si>
    <t>Green/white/blue buckets (non-infectious waste)</t>
  </si>
  <si>
    <t>Haemocytometer</t>
  </si>
  <si>
    <t>Hematology Analyzer</t>
  </si>
  <si>
    <t xml:space="preserve">Incubator </t>
  </si>
  <si>
    <t>Infant BP Apparatus</t>
  </si>
  <si>
    <t>Infant Length Measuring Scale</t>
  </si>
  <si>
    <t>Infant Weighing Machine</t>
  </si>
  <si>
    <t>Instrument trolley</t>
  </si>
  <si>
    <t>Instruments Cabinet Large size</t>
  </si>
  <si>
    <t xml:space="preserve">IV stand </t>
  </si>
  <si>
    <t>Labour /Delivery Table with washable plastic cover</t>
  </si>
  <si>
    <t>Laryngoscope</t>
  </si>
  <si>
    <t>Leakproof containers with tight-fitting lids or plastic bags for disposing of contaminated items</t>
  </si>
  <si>
    <t>Light examination, mobile, 220-12 V</t>
  </si>
  <si>
    <t>Linen sheets for couch/beds</t>
  </si>
  <si>
    <t>Micro Pipette</t>
  </si>
  <si>
    <t>Myoma Scissors Straight 7 inches</t>
  </si>
  <si>
    <t>Nebulizer</t>
  </si>
  <si>
    <t>Needle Holder (simple, forceps, holder etc)</t>
  </si>
  <si>
    <t>Nose Speculum</t>
  </si>
  <si>
    <t>Operation table</t>
  </si>
  <si>
    <t>Oxygen Cylinder (all types)</t>
  </si>
  <si>
    <t>Paediatric Ventilator</t>
  </si>
  <si>
    <t>Patient’s stool</t>
  </si>
  <si>
    <t>Pedal suction machine - manual</t>
  </si>
  <si>
    <t xml:space="preserve">Photo Therapy Unit </t>
  </si>
  <si>
    <t>Pinard fetoscope</t>
  </si>
  <si>
    <t>Pipette stands</t>
  </si>
  <si>
    <t>Plan vision testing chart</t>
  </si>
  <si>
    <t>Portable Ultrasound</t>
  </si>
  <si>
    <t>Pressure cooker</t>
  </si>
  <si>
    <t>Pressure cooker autoclaves</t>
  </si>
  <si>
    <t>Proctoscope</t>
  </si>
  <si>
    <t>Pulse Oximeter</t>
  </si>
  <si>
    <t>Radiant warmer/heater for newborn</t>
  </si>
  <si>
    <t>Reagent Bottles</t>
  </si>
  <si>
    <t>Resuscitator, hand-operated, neonate, 500ml</t>
  </si>
  <si>
    <t>Room Thermometer</t>
  </si>
  <si>
    <t>Sahli Haemoglobinometer</t>
  </si>
  <si>
    <t>Scalpel</t>
  </si>
  <si>
    <t>Scissors (simple, straight)</t>
  </si>
  <si>
    <t>Shadow less Lamps</t>
  </si>
  <si>
    <t>Sim’s vaginal speculum – single &amp; double ended - (each of small,  medium and large size)</t>
  </si>
  <si>
    <t>Sims Speculum Double Blade</t>
  </si>
  <si>
    <t>Sims Speculum Single Blade</t>
  </si>
  <si>
    <t>Snellen and near vision charts</t>
  </si>
  <si>
    <t>Sphygmomanometer cuff</t>
  </si>
  <si>
    <t>Standard surgical set (for minor procedures like episiotomy stitching)</t>
  </si>
  <si>
    <t>Static Ultrasound</t>
  </si>
  <si>
    <t xml:space="preserve">Sterilizer </t>
  </si>
  <si>
    <t>Table</t>
  </si>
  <si>
    <t>Table lamp.</t>
  </si>
  <si>
    <t>Test Tube Holder</t>
  </si>
  <si>
    <t>Test tubes</t>
  </si>
  <si>
    <t>Timing device/watch with second hand</t>
  </si>
  <si>
    <t>Towels for drying and wrapping the baby</t>
  </si>
  <si>
    <t>Uterine elevator</t>
  </si>
  <si>
    <t>Vaccine carrier</t>
  </si>
  <si>
    <t>Vacuum Extractor Pump</t>
  </si>
  <si>
    <t>Ventilators</t>
  </si>
  <si>
    <t>Water Bath</t>
  </si>
  <si>
    <t>Weighing Scale, spring</t>
  </si>
  <si>
    <t>Wheel chair</t>
  </si>
  <si>
    <t>X-ray unit</t>
  </si>
  <si>
    <r>
      <t>IUD insertion kit</t>
    </r>
    <r>
      <rPr>
        <b/>
        <sz val="11"/>
        <rFont val="Calibri"/>
        <family val="2"/>
        <scheme val="minor"/>
      </rPr>
      <t xml:space="preserve"> </t>
    </r>
  </si>
  <si>
    <t>Equipment, Supplies and Depreciation</t>
  </si>
  <si>
    <t>d</t>
  </si>
  <si>
    <t>per annum</t>
  </si>
  <si>
    <t>per month</t>
  </si>
  <si>
    <t>Under Reporting</t>
  </si>
  <si>
    <t>Number of Facilities</t>
  </si>
  <si>
    <t>Urban Population</t>
  </si>
  <si>
    <t>Rural Population</t>
  </si>
  <si>
    <t>Rural Populations</t>
  </si>
  <si>
    <t>Population above five</t>
  </si>
  <si>
    <t>Expected number of pregnancies</t>
  </si>
  <si>
    <t>Population above fifteen</t>
  </si>
  <si>
    <t>Average KW consumption per 8 employees (21.3) x no. of employees x Average rate per KW x no. of working hours</t>
  </si>
  <si>
    <t>As per EHSP equipment list</t>
  </si>
  <si>
    <t>As per EHSP supply list</t>
  </si>
  <si>
    <t>Micronutrient Sachet</t>
  </si>
  <si>
    <t>1 sachet</t>
  </si>
  <si>
    <t>Nutrition: Micronutrient Supplementation</t>
  </si>
  <si>
    <t>Micro  nutrients</t>
  </si>
  <si>
    <t>Nutrition: Vitamin A Supplementation (children)</t>
  </si>
  <si>
    <t>Nutrition: Micronutrient Supplementation (children)</t>
  </si>
  <si>
    <t>Vitamin A</t>
  </si>
  <si>
    <t>Current Population per BHU</t>
  </si>
  <si>
    <t>Cost Estimates for an average BHU</t>
  </si>
  <si>
    <t>Cost Estimates for an average BHU: Scenario Projections</t>
  </si>
  <si>
    <t>Naib Qasid</t>
  </si>
  <si>
    <t>Aya</t>
  </si>
  <si>
    <t>Lady Health Visitor</t>
  </si>
  <si>
    <t>Family Planning: Intra Utrine Device</t>
  </si>
  <si>
    <t>BHUs required</t>
  </si>
  <si>
    <t>Cost Projections for Increase in Coverage: BHU</t>
  </si>
  <si>
    <t>Increase</t>
  </si>
  <si>
    <t>Decrease</t>
  </si>
  <si>
    <t>Department of Health, Government of Sindh</t>
  </si>
  <si>
    <t>Dispenser</t>
  </si>
  <si>
    <t>Vaccinator</t>
  </si>
  <si>
    <t>Sanitation Worker</t>
  </si>
  <si>
    <t>Sindh</t>
  </si>
  <si>
    <t>10% of rent</t>
  </si>
  <si>
    <t>Model for Costing Essential Health Services Package:                      Dispensary</t>
  </si>
  <si>
    <t>Dresser</t>
  </si>
  <si>
    <t>Attendant</t>
  </si>
  <si>
    <t>DISP</t>
  </si>
  <si>
    <t>Dispensary: Time Esitmates by Health Worker (Min)</t>
  </si>
  <si>
    <t>Dispensary: Health Worker Cost per Intervention</t>
  </si>
  <si>
    <t>20% of equipment depreciation</t>
  </si>
  <si>
    <t>January, 2104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</si>
</sst>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[$PKR]\ * #,##0_);_([$PKR]\ * \(#,##0\);_([$PKR]\ * &quot;-&quot;??_);_(@_)"/>
    <numFmt numFmtId="167" formatCode="0.0%"/>
    <numFmt numFmtId="168" formatCode="0.000"/>
    <numFmt numFmtId="169" formatCode="_(* #,##0.000_);_(* \(#,##0.000\);_(* &quot;-&quot;??_);_(@_)"/>
    <numFmt numFmtId="170" formatCode="0.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3F3F76"/>
      <name val="Calibri"/>
      <family val="2"/>
      <scheme val="minor"/>
    </font>
    <font>
      <sz val="55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rgb="FF7F7F7F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>
      <alignment vertical="center"/>
    </xf>
    <xf numFmtId="0" fontId="15" fillId="12" borderId="17" applyNumberFormat="0" applyAlignment="0" applyProtection="0"/>
  </cellStyleXfs>
  <cellXfs count="293">
    <xf numFmtId="0" fontId="0" fillId="0" borderId="0" xfId="0"/>
    <xf numFmtId="0" fontId="0" fillId="0" borderId="0" xfId="0"/>
    <xf numFmtId="0" fontId="1" fillId="3" borderId="2" xfId="5" applyBorder="1" applyAlignment="1">
      <alignment horizontal="center" vertical="center"/>
    </xf>
    <xf numFmtId="0" fontId="2" fillId="5" borderId="2" xfId="7" applyFont="1" applyBorder="1"/>
    <xf numFmtId="43" fontId="1" fillId="3" borderId="2" xfId="1" applyFill="1" applyBorder="1"/>
    <xf numFmtId="43" fontId="2" fillId="5" borderId="2" xfId="1" applyFont="1" applyFill="1" applyBorder="1"/>
    <xf numFmtId="43" fontId="1" fillId="3" borderId="2" xfId="1" applyFill="1" applyBorder="1" applyAlignment="1">
      <alignment wrapText="1"/>
    </xf>
    <xf numFmtId="0" fontId="2" fillId="8" borderId="2" xfId="4" applyFont="1" applyFill="1" applyBorder="1" applyAlignment="1">
      <alignment horizontal="center" vertical="center" wrapText="1"/>
    </xf>
    <xf numFmtId="0" fontId="2" fillId="8" borderId="2" xfId="4" applyFont="1" applyFill="1" applyBorder="1" applyAlignment="1">
      <alignment horizontal="center" vertical="center"/>
    </xf>
    <xf numFmtId="0" fontId="2" fillId="8" borderId="2" xfId="4" applyFont="1" applyFill="1" applyBorder="1" applyAlignment="1">
      <alignment horizontal="center" wrapText="1"/>
    </xf>
    <xf numFmtId="0" fontId="2" fillId="8" borderId="2" xfId="4" applyFont="1" applyFill="1" applyBorder="1" applyAlignment="1">
      <alignment horizontal="left" vertical="center" wrapText="1"/>
    </xf>
    <xf numFmtId="0" fontId="0" fillId="8" borderId="2" xfId="0" applyFill="1" applyBorder="1"/>
    <xf numFmtId="43" fontId="2" fillId="8" borderId="2" xfId="1" applyFont="1" applyFill="1" applyBorder="1" applyAlignment="1">
      <alignment horizontal="left" vertical="center" wrapText="1"/>
    </xf>
    <xf numFmtId="0" fontId="0" fillId="0" borderId="0" xfId="0"/>
    <xf numFmtId="164" fontId="1" fillId="3" borderId="2" xfId="1" applyNumberFormat="1" applyFill="1" applyBorder="1"/>
    <xf numFmtId="164" fontId="1" fillId="3" borderId="2" xfId="1" applyNumberFormat="1" applyFill="1" applyBorder="1" applyAlignment="1">
      <alignment horizontal="center"/>
    </xf>
    <xf numFmtId="164" fontId="1" fillId="3" borderId="2" xfId="1" applyNumberFormat="1" applyFill="1" applyBorder="1" applyAlignment="1">
      <alignment horizontal="center" vertical="center"/>
    </xf>
    <xf numFmtId="164" fontId="1" fillId="3" borderId="2" xfId="1" applyNumberFormat="1" applyFill="1" applyBorder="1" applyAlignment="1">
      <alignment vertical="center"/>
    </xf>
    <xf numFmtId="1" fontId="3" fillId="3" borderId="2" xfId="1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164" fontId="0" fillId="0" borderId="0" xfId="1" applyNumberFormat="1" applyFont="1"/>
    <xf numFmtId="164" fontId="0" fillId="0" borderId="0" xfId="0" applyNumberFormat="1"/>
    <xf numFmtId="0" fontId="8" fillId="5" borderId="2" xfId="7" applyFont="1" applyBorder="1" applyAlignment="1">
      <alignment horizontal="center"/>
    </xf>
    <xf numFmtId="43" fontId="3" fillId="3" borderId="2" xfId="1" applyFont="1" applyFill="1" applyBorder="1"/>
    <xf numFmtId="164" fontId="0" fillId="3" borderId="2" xfId="1" applyNumberFormat="1" applyFont="1" applyFill="1" applyBorder="1" applyAlignment="1">
      <alignment vertical="center"/>
    </xf>
    <xf numFmtId="164" fontId="8" fillId="5" borderId="2" xfId="1" applyNumberFormat="1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4" fillId="5" borderId="2" xfId="1" applyNumberFormat="1" applyFont="1" applyFill="1" applyBorder="1" applyAlignment="1">
      <alignment horizontal="center"/>
    </xf>
    <xf numFmtId="164" fontId="2" fillId="5" borderId="2" xfId="1" applyNumberFormat="1" applyFont="1" applyFill="1" applyBorder="1" applyAlignment="1">
      <alignment horizontal="center"/>
    </xf>
    <xf numFmtId="43" fontId="0" fillId="3" borderId="2" xfId="1" applyFont="1" applyFill="1" applyBorder="1"/>
    <xf numFmtId="0" fontId="1" fillId="11" borderId="2" xfId="6" applyFill="1" applyBorder="1"/>
    <xf numFmtId="164" fontId="1" fillId="11" borderId="2" xfId="1" applyNumberFormat="1" applyFill="1" applyBorder="1"/>
    <xf numFmtId="165" fontId="1" fillId="11" borderId="2" xfId="1" applyNumberFormat="1" applyFill="1" applyBorder="1"/>
    <xf numFmtId="164" fontId="2" fillId="8" borderId="2" xfId="0" applyNumberFormat="1" applyFont="1" applyFill="1" applyBorder="1"/>
    <xf numFmtId="43" fontId="0" fillId="0" borderId="0" xfId="0" applyNumberFormat="1"/>
    <xf numFmtId="164" fontId="0" fillId="11" borderId="2" xfId="1" applyNumberFormat="1" applyFont="1" applyFill="1" applyBorder="1"/>
    <xf numFmtId="0" fontId="2" fillId="8" borderId="4" xfId="4" applyFont="1" applyFill="1" applyBorder="1" applyAlignment="1">
      <alignment vertical="center"/>
    </xf>
    <xf numFmtId="9" fontId="1" fillId="11" borderId="2" xfId="3" applyFill="1" applyBorder="1"/>
    <xf numFmtId="9" fontId="0" fillId="11" borderId="2" xfId="3" applyFont="1" applyFill="1" applyBorder="1"/>
    <xf numFmtId="0" fontId="3" fillId="0" borderId="0" xfId="0" applyFont="1" applyAlignment="1">
      <alignment horizontal="center"/>
    </xf>
    <xf numFmtId="9" fontId="0" fillId="0" borderId="0" xfId="3" applyFont="1"/>
    <xf numFmtId="10" fontId="0" fillId="0" borderId="0" xfId="0" applyNumberFormat="1"/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0" fillId="0" borderId="0" xfId="0" applyFont="1" applyAlignment="1" applyProtection="1">
      <alignment wrapText="1"/>
      <protection hidden="1"/>
    </xf>
    <xf numFmtId="0" fontId="10" fillId="11" borderId="2" xfId="6" applyFont="1" applyFill="1" applyBorder="1" applyProtection="1">
      <protection hidden="1"/>
    </xf>
    <xf numFmtId="165" fontId="11" fillId="11" borderId="2" xfId="1" applyNumberFormat="1" applyFont="1" applyFill="1" applyBorder="1" applyProtection="1">
      <protection hidden="1"/>
    </xf>
    <xf numFmtId="164" fontId="11" fillId="11" borderId="2" xfId="1" applyNumberFormat="1" applyFont="1" applyFill="1" applyBorder="1" applyProtection="1">
      <protection hidden="1"/>
    </xf>
    <xf numFmtId="164" fontId="10" fillId="11" borderId="2" xfId="1" applyNumberFormat="1" applyFont="1" applyFill="1" applyBorder="1" applyProtection="1">
      <protection hidden="1"/>
    </xf>
    <xf numFmtId="43" fontId="10" fillId="0" borderId="0" xfId="0" applyNumberFormat="1" applyFont="1" applyProtection="1">
      <protection hidden="1"/>
    </xf>
    <xf numFmtId="164" fontId="10" fillId="0" borderId="0" xfId="1" applyNumberFormat="1" applyFont="1" applyProtection="1">
      <protection hidden="1"/>
    </xf>
    <xf numFmtId="0" fontId="10" fillId="0" borderId="0" xfId="0" applyFont="1"/>
    <xf numFmtId="0" fontId="13" fillId="8" borderId="2" xfId="4" applyFont="1" applyFill="1" applyBorder="1" applyAlignment="1" applyProtection="1">
      <alignment horizontal="left" vertical="center" wrapText="1"/>
      <protection hidden="1"/>
    </xf>
    <xf numFmtId="164" fontId="13" fillId="8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11" borderId="2" xfId="6" applyFont="1" applyFill="1" applyBorder="1" applyAlignment="1" applyProtection="1">
      <alignment vertical="center"/>
      <protection hidden="1"/>
    </xf>
    <xf numFmtId="164" fontId="10" fillId="11" borderId="2" xfId="1" applyNumberFormat="1" applyFont="1" applyFill="1" applyBorder="1" applyAlignment="1" applyProtection="1">
      <alignment vertical="center"/>
      <protection hidden="1"/>
    </xf>
    <xf numFmtId="0" fontId="10" fillId="11" borderId="2" xfId="6" applyFont="1" applyFill="1" applyBorder="1" applyAlignment="1" applyProtection="1">
      <alignment vertical="center" wrapText="1"/>
      <protection hidden="1"/>
    </xf>
    <xf numFmtId="0" fontId="10" fillId="11" borderId="2" xfId="6" applyFont="1" applyFill="1" applyBorder="1" applyAlignment="1" applyProtection="1">
      <alignment wrapText="1"/>
      <protection hidden="1"/>
    </xf>
    <xf numFmtId="0" fontId="2" fillId="8" borderId="2" xfId="4" applyFont="1" applyFill="1" applyBorder="1" applyAlignment="1">
      <alignment horizontal="center" vertical="center" wrapText="1"/>
    </xf>
    <xf numFmtId="9" fontId="1" fillId="11" borderId="2" xfId="3" applyFill="1" applyBorder="1" applyAlignment="1" applyProtection="1">
      <alignment vertical="center"/>
      <protection locked="0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1" fillId="11" borderId="2" xfId="6" applyFill="1" applyBorder="1" applyProtection="1">
      <protection locked="0" hidden="1"/>
    </xf>
    <xf numFmtId="164" fontId="1" fillId="11" borderId="2" xfId="1" applyNumberFormat="1" applyFill="1" applyBorder="1" applyProtection="1">
      <protection locked="0" hidden="1"/>
    </xf>
    <xf numFmtId="9" fontId="1" fillId="11" borderId="2" xfId="3" applyFill="1" applyBorder="1" applyProtection="1">
      <protection locked="0" hidden="1"/>
    </xf>
    <xf numFmtId="164" fontId="1" fillId="11" borderId="2" xfId="1" applyNumberFormat="1" applyFill="1" applyBorder="1" applyProtection="1">
      <protection hidden="1"/>
    </xf>
    <xf numFmtId="165" fontId="1" fillId="11" borderId="2" xfId="1" applyNumberFormat="1" applyFill="1" applyBorder="1" applyProtection="1">
      <protection hidden="1"/>
    </xf>
    <xf numFmtId="164" fontId="2" fillId="8" borderId="2" xfId="0" applyNumberFormat="1" applyFont="1" applyFill="1" applyBorder="1" applyProtection="1">
      <protection hidden="1"/>
    </xf>
    <xf numFmtId="164" fontId="0" fillId="11" borderId="2" xfId="1" applyNumberFormat="1" applyFont="1" applyFill="1" applyBorder="1" applyProtection="1">
      <protection locked="0" hidden="1"/>
    </xf>
    <xf numFmtId="9" fontId="0" fillId="11" borderId="2" xfId="3" applyFont="1" applyFill="1" applyBorder="1" applyProtection="1">
      <protection locked="0" hidden="1"/>
    </xf>
    <xf numFmtId="0" fontId="1" fillId="11" borderId="2" xfId="6" applyFill="1" applyBorder="1" applyProtection="1">
      <protection hidden="1"/>
    </xf>
    <xf numFmtId="166" fontId="1" fillId="11" borderId="2" xfId="6" applyNumberFormat="1" applyFill="1" applyBorder="1" applyProtection="1">
      <protection hidden="1"/>
    </xf>
    <xf numFmtId="0" fontId="1" fillId="11" borderId="2" xfId="6" applyFill="1" applyBorder="1" applyAlignment="1" applyProtection="1">
      <alignment wrapText="1"/>
      <protection locked="0" hidden="1"/>
    </xf>
    <xf numFmtId="165" fontId="0" fillId="11" borderId="2" xfId="1" applyNumberFormat="1" applyFont="1" applyFill="1" applyBorder="1" applyProtection="1">
      <protection locked="0" hidden="1"/>
    </xf>
    <xf numFmtId="165" fontId="1" fillId="11" borderId="2" xfId="1" applyNumberFormat="1" applyFill="1" applyBorder="1" applyProtection="1">
      <protection locked="0" hidden="1"/>
    </xf>
    <xf numFmtId="9" fontId="1" fillId="11" borderId="2" xfId="3" applyFill="1" applyBorder="1" applyProtection="1">
      <protection hidden="1"/>
    </xf>
    <xf numFmtId="9" fontId="0" fillId="11" borderId="2" xfId="3" applyFont="1" applyFill="1" applyBorder="1" applyProtection="1">
      <protection hidden="1"/>
    </xf>
    <xf numFmtId="164" fontId="1" fillId="11" borderId="2" xfId="1" applyNumberFormat="1" applyFill="1" applyBorder="1" applyAlignment="1" applyProtection="1">
      <alignment vertical="center"/>
      <protection locked="0" hidden="1"/>
    </xf>
    <xf numFmtId="165" fontId="1" fillId="11" borderId="2" xfId="1" applyNumberFormat="1" applyFill="1" applyBorder="1" applyAlignment="1" applyProtection="1">
      <alignment vertical="center"/>
      <protection locked="0" hidden="1"/>
    </xf>
    <xf numFmtId="9" fontId="1" fillId="11" borderId="2" xfId="3" applyFill="1" applyBorder="1" applyAlignment="1" applyProtection="1">
      <alignment vertical="center"/>
      <protection locked="0" hidden="1"/>
    </xf>
    <xf numFmtId="164" fontId="1" fillId="11" borderId="2" xfId="1" applyNumberFormat="1" applyFill="1" applyBorder="1" applyAlignment="1" applyProtection="1">
      <alignment vertical="center"/>
      <protection hidden="1"/>
    </xf>
    <xf numFmtId="165" fontId="1" fillId="11" borderId="2" xfId="1" applyNumberFormat="1" applyFill="1" applyBorder="1" applyAlignment="1" applyProtection="1">
      <alignment vertical="center"/>
      <protection hidden="1"/>
    </xf>
    <xf numFmtId="164" fontId="0" fillId="0" borderId="0" xfId="0" applyNumberFormat="1" applyProtection="1">
      <protection hidden="1"/>
    </xf>
    <xf numFmtId="166" fontId="1" fillId="11" borderId="2" xfId="2" applyNumberFormat="1" applyFill="1" applyBorder="1" applyProtection="1">
      <protection hidden="1"/>
    </xf>
    <xf numFmtId="164" fontId="0" fillId="11" borderId="2" xfId="1" applyNumberFormat="1" applyFont="1" applyFill="1" applyBorder="1" applyProtection="1">
      <protection hidden="1"/>
    </xf>
    <xf numFmtId="164" fontId="0" fillId="0" borderId="0" xfId="1" applyNumberFormat="1" applyFont="1" applyProtection="1">
      <protection hidden="1"/>
    </xf>
    <xf numFmtId="9" fontId="0" fillId="0" borderId="0" xfId="3" applyFont="1" applyProtection="1">
      <protection hidden="1"/>
    </xf>
    <xf numFmtId="43" fontId="0" fillId="0" borderId="0" xfId="0" applyNumberForma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43" fontId="1" fillId="11" borderId="2" xfId="1" applyNumberFormat="1" applyFill="1" applyBorder="1" applyAlignment="1" applyProtection="1">
      <alignment vertical="center"/>
      <protection hidden="1"/>
    </xf>
    <xf numFmtId="164" fontId="1" fillId="11" borderId="2" xfId="1" applyNumberFormat="1" applyFill="1" applyBorder="1" applyAlignment="1" applyProtection="1">
      <alignment horizontal="center" vertical="center"/>
      <protection hidden="1"/>
    </xf>
    <xf numFmtId="164" fontId="0" fillId="11" borderId="2" xfId="1" applyNumberFormat="1" applyFont="1" applyFill="1" applyBorder="1" applyAlignment="1" applyProtection="1">
      <alignment vertical="center"/>
      <protection hidden="1"/>
    </xf>
    <xf numFmtId="164" fontId="1" fillId="11" borderId="2" xfId="1" applyNumberFormat="1" applyFill="1" applyBorder="1" applyAlignment="1" applyProtection="1">
      <alignment wrapText="1"/>
      <protection hidden="1"/>
    </xf>
    <xf numFmtId="164" fontId="0" fillId="11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wrapText="1"/>
      <protection hidden="1"/>
    </xf>
    <xf numFmtId="43" fontId="1" fillId="11" borderId="2" xfId="1" applyNumberFormat="1" applyFill="1" applyBorder="1" applyProtection="1">
      <protection hidden="1"/>
    </xf>
    <xf numFmtId="164" fontId="2" fillId="10" borderId="0" xfId="1" applyNumberFormat="1" applyFont="1" applyFill="1" applyAlignment="1" applyProtection="1">
      <alignment horizontal="center"/>
      <protection hidden="1"/>
    </xf>
    <xf numFmtId="0" fontId="2" fillId="10" borderId="0" xfId="0" applyFont="1" applyFill="1" applyAlignment="1" applyProtection="1">
      <alignment horizontal="center"/>
      <protection hidden="1"/>
    </xf>
    <xf numFmtId="164" fontId="3" fillId="9" borderId="0" xfId="1" applyNumberFormat="1" applyFont="1" applyFill="1" applyAlignment="1" applyProtection="1">
      <alignment horizontal="right"/>
      <protection hidden="1"/>
    </xf>
    <xf numFmtId="0" fontId="3" fillId="9" borderId="0" xfId="0" applyFont="1" applyFill="1" applyProtection="1"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7" borderId="0" xfId="0" applyFont="1" applyFill="1" applyProtection="1">
      <protection hidden="1"/>
    </xf>
    <xf numFmtId="164" fontId="0" fillId="6" borderId="0" xfId="1" applyNumberFormat="1" applyFont="1" applyFill="1" applyAlignment="1" applyProtection="1">
      <alignment horizontal="right"/>
      <protection hidden="1"/>
    </xf>
    <xf numFmtId="43" fontId="0" fillId="6" borderId="0" xfId="1" applyFont="1" applyFill="1" applyProtection="1">
      <protection hidden="1"/>
    </xf>
    <xf numFmtId="43" fontId="0" fillId="6" borderId="0" xfId="1" applyFont="1" applyFill="1" applyAlignment="1" applyProtection="1">
      <alignment horizontal="right"/>
      <protection hidden="1"/>
    </xf>
    <xf numFmtId="164" fontId="0" fillId="0" borderId="0" xfId="1" applyNumberFormat="1" applyFont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43" fontId="0" fillId="0" borderId="0" xfId="1" applyFont="1" applyProtection="1">
      <protection hidden="1"/>
    </xf>
    <xf numFmtId="9" fontId="10" fillId="0" borderId="0" xfId="3" applyFont="1" applyProtection="1">
      <protection hidden="1"/>
    </xf>
    <xf numFmtId="0" fontId="14" fillId="0" borderId="0" xfId="8" applyFont="1" applyProtection="1">
      <alignment vertical="center"/>
      <protection hidden="1"/>
    </xf>
    <xf numFmtId="0" fontId="14" fillId="0" borderId="0" xfId="8" applyNumberFormat="1" applyFont="1" applyFill="1" applyBorder="1" applyAlignment="1" applyProtection="1">
      <alignment wrapText="1"/>
      <protection hidden="1"/>
    </xf>
    <xf numFmtId="0" fontId="14" fillId="0" borderId="0" xfId="8" applyFont="1" applyProtection="1">
      <alignment vertical="center"/>
      <protection locked="0"/>
    </xf>
    <xf numFmtId="0" fontId="14" fillId="0" borderId="0" xfId="8" applyNumberFormat="1" applyFont="1" applyFill="1" applyBorder="1" applyAlignment="1" applyProtection="1">
      <alignment wrapText="1"/>
      <protection locked="0"/>
    </xf>
    <xf numFmtId="164" fontId="4" fillId="0" borderId="0" xfId="1" applyNumberFormat="1" applyFont="1" applyProtection="1">
      <protection hidden="1"/>
    </xf>
    <xf numFmtId="9" fontId="0" fillId="0" borderId="0" xfId="0" applyNumberFormat="1"/>
    <xf numFmtId="43" fontId="0" fillId="0" borderId="0" xfId="1" applyFont="1"/>
    <xf numFmtId="10" fontId="0" fillId="0" borderId="0" xfId="3" applyNumberFormat="1" applyFont="1"/>
    <xf numFmtId="43" fontId="0" fillId="0" borderId="0" xfId="1" applyNumberFormat="1" applyFont="1"/>
    <xf numFmtId="43" fontId="10" fillId="0" borderId="0" xfId="1" applyFont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169" fontId="0" fillId="0" borderId="0" xfId="1" applyNumberFormat="1" applyFont="1"/>
    <xf numFmtId="164" fontId="10" fillId="0" borderId="0" xfId="0" applyNumberFormat="1" applyFont="1"/>
    <xf numFmtId="168" fontId="0" fillId="0" borderId="0" xfId="0" applyNumberFormat="1"/>
    <xf numFmtId="0" fontId="0" fillId="0" borderId="0" xfId="0" applyFill="1"/>
    <xf numFmtId="2" fontId="0" fillId="0" borderId="0" xfId="0" applyNumberFormat="1" applyFill="1"/>
    <xf numFmtId="167" fontId="12" fillId="0" borderId="0" xfId="3" applyNumberFormat="1" applyFont="1" applyProtection="1">
      <protection hidden="1"/>
    </xf>
    <xf numFmtId="44" fontId="10" fillId="11" borderId="2" xfId="2" applyFont="1" applyFill="1" applyBorder="1" applyProtection="1">
      <protection hidden="1"/>
    </xf>
    <xf numFmtId="166" fontId="10" fillId="11" borderId="2" xfId="1" applyNumberFormat="1" applyFont="1" applyFill="1" applyBorder="1" applyProtection="1">
      <protection hidden="1"/>
    </xf>
    <xf numFmtId="43" fontId="0" fillId="0" borderId="0" xfId="1" quotePrefix="1" applyFont="1"/>
    <xf numFmtId="164" fontId="17" fillId="12" borderId="2" xfId="9" applyNumberFormat="1" applyFont="1" applyBorder="1" applyProtection="1">
      <protection hidden="1"/>
    </xf>
    <xf numFmtId="164" fontId="10" fillId="11" borderId="5" xfId="1" applyNumberFormat="1" applyFont="1" applyFill="1" applyBorder="1" applyProtection="1">
      <protection hidden="1"/>
    </xf>
    <xf numFmtId="164" fontId="10" fillId="11" borderId="6" xfId="1" applyNumberFormat="1" applyFont="1" applyFill="1" applyBorder="1" applyProtection="1">
      <protection hidden="1"/>
    </xf>
    <xf numFmtId="164" fontId="10" fillId="11" borderId="15" xfId="1" applyNumberFormat="1" applyFont="1" applyFill="1" applyBorder="1" applyProtection="1">
      <protection hidden="1"/>
    </xf>
    <xf numFmtId="0" fontId="16" fillId="0" borderId="0" xfId="0" applyFont="1" applyProtection="1">
      <protection hidden="1"/>
    </xf>
    <xf numFmtId="0" fontId="17" fillId="12" borderId="17" xfId="9" applyFont="1" applyProtection="1">
      <protection hidden="1"/>
    </xf>
    <xf numFmtId="9" fontId="17" fillId="12" borderId="2" xfId="9" applyNumberFormat="1" applyFont="1" applyBorder="1" applyProtection="1">
      <protection locked="0" hidden="1"/>
    </xf>
    <xf numFmtId="9" fontId="12" fillId="0" borderId="0" xfId="0" applyNumberFormat="1" applyFont="1" applyProtection="1">
      <protection hidden="1"/>
    </xf>
    <xf numFmtId="10" fontId="12" fillId="0" borderId="0" xfId="0" applyNumberFormat="1" applyFont="1" applyProtection="1">
      <protection hidden="1"/>
    </xf>
    <xf numFmtId="10" fontId="12" fillId="0" borderId="0" xfId="3" applyNumberFormat="1" applyFont="1" applyProtection="1">
      <protection hidden="1"/>
    </xf>
    <xf numFmtId="170" fontId="12" fillId="0" borderId="0" xfId="3" applyNumberFormat="1" applyFont="1" applyProtection="1">
      <protection hidden="1"/>
    </xf>
    <xf numFmtId="9" fontId="4" fillId="0" borderId="0" xfId="0" applyNumberFormat="1" applyFont="1" applyProtection="1">
      <protection hidden="1"/>
    </xf>
    <xf numFmtId="9" fontId="10" fillId="11" borderId="6" xfId="3" applyFont="1" applyFill="1" applyBorder="1" applyProtection="1">
      <protection hidden="1"/>
    </xf>
    <xf numFmtId="166" fontId="12" fillId="0" borderId="0" xfId="0" applyNumberFormat="1" applyFont="1" applyProtection="1">
      <protection hidden="1"/>
    </xf>
    <xf numFmtId="44" fontId="12" fillId="0" borderId="0" xfId="2" applyFont="1" applyProtection="1">
      <protection hidden="1"/>
    </xf>
    <xf numFmtId="164" fontId="17" fillId="12" borderId="2" xfId="9" applyNumberFormat="1" applyFont="1" applyBorder="1" applyProtection="1">
      <protection locked="0" hidden="1"/>
    </xf>
    <xf numFmtId="0" fontId="13" fillId="13" borderId="2" xfId="4" applyFont="1" applyFill="1" applyBorder="1" applyAlignment="1" applyProtection="1">
      <alignment horizontal="left" vertical="center" wrapText="1"/>
      <protection hidden="1"/>
    </xf>
    <xf numFmtId="164" fontId="13" fillId="13" borderId="2" xfId="1" applyNumberFormat="1" applyFont="1" applyFill="1" applyBorder="1" applyAlignment="1" applyProtection="1">
      <alignment horizontal="center" vertical="center" wrapText="1"/>
      <protection hidden="1"/>
    </xf>
    <xf numFmtId="0" fontId="13" fillId="13" borderId="2" xfId="4" applyFont="1" applyFill="1" applyBorder="1" applyAlignment="1" applyProtection="1">
      <alignment horizontal="center" vertical="center" wrapText="1"/>
      <protection hidden="1"/>
    </xf>
    <xf numFmtId="164" fontId="13" fillId="13" borderId="2" xfId="1" applyNumberFormat="1" applyFont="1" applyFill="1" applyBorder="1" applyAlignment="1" applyProtection="1">
      <alignment horizontal="left" vertical="center" wrapText="1"/>
      <protection hidden="1"/>
    </xf>
    <xf numFmtId="0" fontId="0" fillId="11" borderId="2" xfId="6" applyFont="1" applyFill="1" applyBorder="1" applyProtection="1">
      <protection locked="0" hidden="1"/>
    </xf>
    <xf numFmtId="0" fontId="0" fillId="15" borderId="0" xfId="0" applyFill="1" applyAlignment="1" applyProtection="1">
      <alignment wrapText="1"/>
      <protection hidden="1"/>
    </xf>
    <xf numFmtId="164" fontId="14" fillId="14" borderId="2" xfId="1" applyNumberFormat="1" applyFont="1" applyFill="1" applyBorder="1" applyAlignment="1">
      <alignment horizontal="center" vertical="center" wrapText="1"/>
    </xf>
    <xf numFmtId="164" fontId="14" fillId="14" borderId="2" xfId="1" applyNumberFormat="1" applyFont="1" applyFill="1" applyBorder="1" applyAlignment="1">
      <alignment vertical="center" wrapText="1"/>
    </xf>
    <xf numFmtId="164" fontId="19" fillId="14" borderId="2" xfId="1" applyNumberFormat="1" applyFont="1" applyFill="1" applyBorder="1" applyAlignment="1">
      <alignment horizontal="center" vertical="center" wrapText="1"/>
    </xf>
    <xf numFmtId="164" fontId="1" fillId="14" borderId="2" xfId="1" applyNumberFormat="1" applyFont="1" applyFill="1" applyBorder="1" applyAlignment="1">
      <alignment vertical="center" wrapText="1"/>
    </xf>
    <xf numFmtId="164" fontId="1" fillId="14" borderId="2" xfId="1" applyNumberFormat="1" applyFont="1" applyFill="1" applyBorder="1" applyAlignment="1">
      <alignment horizontal="center" vertical="center" wrapText="1"/>
    </xf>
    <xf numFmtId="164" fontId="20" fillId="14" borderId="2" xfId="1" applyNumberFormat="1" applyFont="1" applyFill="1" applyBorder="1" applyAlignment="1">
      <alignment vertical="center" wrapText="1"/>
    </xf>
    <xf numFmtId="164" fontId="1" fillId="14" borderId="2" xfId="1" quotePrefix="1" applyNumberFormat="1" applyFont="1" applyFill="1" applyBorder="1" applyAlignment="1">
      <alignment horizontal="center" vertical="center" wrapText="1"/>
    </xf>
    <xf numFmtId="0" fontId="14" fillId="13" borderId="0" xfId="8" applyFont="1" applyFill="1" applyProtection="1">
      <alignment vertical="center"/>
      <protection hidden="1"/>
    </xf>
    <xf numFmtId="0" fontId="2" fillId="13" borderId="2" xfId="0" applyFont="1" applyFill="1" applyBorder="1" applyAlignment="1">
      <alignment horizontal="center" vertical="center" wrapText="1"/>
    </xf>
    <xf numFmtId="164" fontId="2" fillId="13" borderId="2" xfId="1" applyNumberFormat="1" applyFont="1" applyFill="1" applyBorder="1" applyAlignment="1" applyProtection="1">
      <alignment vertical="center"/>
      <protection hidden="1"/>
    </xf>
    <xf numFmtId="164" fontId="2" fillId="13" borderId="2" xfId="8" applyNumberFormat="1" applyFont="1" applyFill="1" applyBorder="1" applyProtection="1">
      <alignment vertical="center"/>
      <protection hidden="1"/>
    </xf>
    <xf numFmtId="9" fontId="2" fillId="13" borderId="2" xfId="3" applyFont="1" applyFill="1" applyBorder="1" applyAlignment="1" applyProtection="1">
      <alignment horizontal="center" vertical="center" wrapText="1"/>
      <protection hidden="1"/>
    </xf>
    <xf numFmtId="43" fontId="0" fillId="6" borderId="2" xfId="1" applyFont="1" applyFill="1" applyBorder="1" applyProtection="1">
      <protection locked="0"/>
    </xf>
    <xf numFmtId="164" fontId="1" fillId="6" borderId="2" xfId="1" applyNumberFormat="1" applyFill="1" applyBorder="1" applyProtection="1">
      <protection locked="0"/>
    </xf>
    <xf numFmtId="164" fontId="1" fillId="6" borderId="2" xfId="1" applyNumberFormat="1" applyFill="1" applyBorder="1" applyProtection="1">
      <protection hidden="1"/>
    </xf>
    <xf numFmtId="43" fontId="1" fillId="6" borderId="2" xfId="1" applyFill="1" applyBorder="1" applyProtection="1">
      <protection locked="0"/>
    </xf>
    <xf numFmtId="0" fontId="0" fillId="13" borderId="0" xfId="0" applyFill="1" applyProtection="1">
      <protection hidden="1"/>
    </xf>
    <xf numFmtId="164" fontId="4" fillId="13" borderId="2" xfId="1" applyNumberFormat="1" applyFont="1" applyFill="1" applyBorder="1" applyProtection="1">
      <protection hidden="1"/>
    </xf>
    <xf numFmtId="164" fontId="4" fillId="13" borderId="2" xfId="0" applyNumberFormat="1" applyFont="1" applyFill="1" applyBorder="1" applyProtection="1">
      <protection hidden="1"/>
    </xf>
    <xf numFmtId="0" fontId="4" fillId="13" borderId="2" xfId="0" applyFont="1" applyFill="1" applyBorder="1" applyProtection="1">
      <protection hidden="1"/>
    </xf>
    <xf numFmtId="9" fontId="4" fillId="13" borderId="2" xfId="3" applyFont="1" applyFill="1" applyBorder="1" applyProtection="1">
      <protection hidden="1"/>
    </xf>
    <xf numFmtId="0" fontId="0" fillId="16" borderId="0" xfId="0" applyFill="1"/>
    <xf numFmtId="164" fontId="0" fillId="16" borderId="0" xfId="1" applyNumberFormat="1" applyFont="1" applyFill="1"/>
    <xf numFmtId="166" fontId="13" fillId="13" borderId="2" xfId="1" applyNumberFormat="1" applyFont="1" applyFill="1" applyBorder="1" applyAlignment="1" applyProtection="1">
      <alignment horizontal="left" vertical="center" wrapText="1"/>
      <protection hidden="1"/>
    </xf>
    <xf numFmtId="44" fontId="13" fillId="13" borderId="2" xfId="2" applyFont="1" applyFill="1" applyBorder="1" applyAlignment="1" applyProtection="1">
      <alignment horizontal="left" vertical="center" wrapText="1"/>
      <protection hidden="1"/>
    </xf>
    <xf numFmtId="9" fontId="13" fillId="13" borderId="2" xfId="3" applyFont="1" applyFill="1" applyBorder="1" applyAlignment="1" applyProtection="1">
      <alignment horizontal="right" vertical="center" wrapText="1"/>
      <protection locked="0" hidden="1"/>
    </xf>
    <xf numFmtId="9" fontId="13" fillId="13" borderId="2" xfId="3" applyFont="1" applyFill="1" applyBorder="1" applyAlignment="1" applyProtection="1">
      <alignment horizontal="center" vertical="center" wrapText="1"/>
      <protection locked="0" hidden="1"/>
    </xf>
    <xf numFmtId="0" fontId="13" fillId="13" borderId="6" xfId="4" applyFont="1" applyFill="1" applyBorder="1" applyAlignment="1" applyProtection="1">
      <alignment horizontal="center" vertical="center" wrapText="1"/>
      <protection hidden="1"/>
    </xf>
    <xf numFmtId="0" fontId="2" fillId="13" borderId="2" xfId="4" applyFont="1" applyFill="1" applyBorder="1" applyAlignment="1" applyProtection="1">
      <alignment horizontal="center" vertical="center" wrapText="1"/>
      <protection hidden="1"/>
    </xf>
    <xf numFmtId="166" fontId="2" fillId="13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13" borderId="2" xfId="4" applyFont="1" applyFill="1" applyBorder="1" applyAlignment="1" applyProtection="1">
      <alignment horizontal="left" vertical="center" wrapText="1"/>
      <protection hidden="1"/>
    </xf>
    <xf numFmtId="164" fontId="2" fillId="13" borderId="2" xfId="0" applyNumberFormat="1" applyFont="1" applyFill="1" applyBorder="1" applyProtection="1">
      <protection hidden="1"/>
    </xf>
    <xf numFmtId="166" fontId="2" fillId="13" borderId="2" xfId="4" applyNumberFormat="1" applyFont="1" applyFill="1" applyBorder="1" applyAlignment="1" applyProtection="1">
      <alignment horizontal="left" vertical="center" wrapText="1"/>
      <protection hidden="1"/>
    </xf>
    <xf numFmtId="164" fontId="2" fillId="13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13" borderId="0" xfId="0" applyFill="1"/>
    <xf numFmtId="166" fontId="13" fillId="13" borderId="2" xfId="4" applyNumberFormat="1" applyFont="1" applyFill="1" applyBorder="1" applyAlignment="1" applyProtection="1">
      <alignment horizontal="left" vertical="center" wrapText="1"/>
      <protection hidden="1"/>
    </xf>
    <xf numFmtId="164" fontId="13" fillId="13" borderId="4" xfId="1" applyNumberFormat="1" applyFont="1" applyFill="1" applyBorder="1" applyAlignment="1" applyProtection="1">
      <alignment horizontal="center" vertical="center" wrapText="1"/>
      <protection hidden="1"/>
    </xf>
    <xf numFmtId="9" fontId="13" fillId="13" borderId="2" xfId="3" applyFont="1" applyFill="1" applyBorder="1" applyAlignment="1" applyProtection="1">
      <alignment horizontal="center" vertical="center" wrapText="1"/>
      <protection hidden="1"/>
    </xf>
    <xf numFmtId="0" fontId="2" fillId="13" borderId="2" xfId="4" applyFont="1" applyFill="1" applyBorder="1" applyAlignment="1" applyProtection="1">
      <alignment horizontal="center" vertical="center" wrapText="1"/>
      <protection hidden="1"/>
    </xf>
    <xf numFmtId="0" fontId="0" fillId="13" borderId="2" xfId="0" applyFill="1" applyBorder="1" applyProtection="1">
      <protection hidden="1"/>
    </xf>
    <xf numFmtId="0" fontId="7" fillId="13" borderId="10" xfId="4" applyFont="1" applyFill="1" applyBorder="1" applyAlignment="1" applyProtection="1">
      <alignment horizontal="left" vertical="center" wrapText="1"/>
      <protection hidden="1"/>
    </xf>
    <xf numFmtId="43" fontId="2" fillId="13" borderId="2" xfId="1" applyFont="1" applyFill="1" applyBorder="1" applyAlignment="1" applyProtection="1">
      <alignment horizontal="left" vertical="center" wrapText="1"/>
      <protection hidden="1"/>
    </xf>
    <xf numFmtId="166" fontId="2" fillId="13" borderId="2" xfId="1" applyNumberFormat="1" applyFont="1" applyFill="1" applyBorder="1" applyAlignment="1" applyProtection="1">
      <alignment horizontal="left" vertical="center" wrapText="1"/>
      <protection hidden="1"/>
    </xf>
    <xf numFmtId="9" fontId="2" fillId="13" borderId="2" xfId="3" applyFont="1" applyFill="1" applyBorder="1" applyAlignment="1">
      <alignment horizontal="center" vertical="center" wrapText="1"/>
    </xf>
    <xf numFmtId="0" fontId="2" fillId="13" borderId="2" xfId="4" applyFont="1" applyFill="1" applyBorder="1" applyAlignment="1">
      <alignment horizontal="center" vertical="center" wrapText="1"/>
    </xf>
    <xf numFmtId="0" fontId="2" fillId="13" borderId="2" xfId="4" applyFont="1" applyFill="1" applyBorder="1" applyAlignment="1" applyProtection="1">
      <alignment horizontal="center" vertical="center" wrapText="1"/>
      <protection locked="0" hidden="1"/>
    </xf>
    <xf numFmtId="166" fontId="2" fillId="13" borderId="2" xfId="2" applyNumberFormat="1" applyFont="1" applyFill="1" applyBorder="1" applyProtection="1">
      <protection hidden="1"/>
    </xf>
    <xf numFmtId="0" fontId="2" fillId="13" borderId="4" xfId="4" applyFont="1" applyFill="1" applyBorder="1" applyAlignment="1" applyProtection="1">
      <alignment horizontal="center" vertical="center" wrapText="1"/>
      <protection hidden="1"/>
    </xf>
    <xf numFmtId="0" fontId="2" fillId="13" borderId="3" xfId="4" applyFont="1" applyFill="1" applyBorder="1" applyAlignment="1" applyProtection="1">
      <alignment horizontal="center" vertical="center" wrapText="1"/>
      <protection hidden="1"/>
    </xf>
    <xf numFmtId="9" fontId="1" fillId="13" borderId="2" xfId="3" applyFill="1" applyBorder="1" applyAlignment="1" applyProtection="1">
      <alignment vertical="center"/>
      <protection locked="0"/>
    </xf>
    <xf numFmtId="43" fontId="10" fillId="11" borderId="2" xfId="1" applyNumberFormat="1" applyFont="1" applyFill="1" applyBorder="1" applyProtection="1">
      <protection hidden="1"/>
    </xf>
    <xf numFmtId="0" fontId="19" fillId="0" borderId="0" xfId="8" applyFont="1" applyAlignment="1" applyProtection="1">
      <alignment horizontal="center" vertical="center"/>
      <protection hidden="1"/>
    </xf>
    <xf numFmtId="9" fontId="13" fillId="13" borderId="2" xfId="3" applyNumberFormat="1" applyFont="1" applyFill="1" applyBorder="1" applyAlignment="1" applyProtection="1">
      <alignment horizontal="right" vertical="center" wrapText="1"/>
      <protection hidden="1"/>
    </xf>
    <xf numFmtId="164" fontId="0" fillId="14" borderId="2" xfId="1" applyNumberFormat="1" applyFont="1" applyFill="1" applyBorder="1" applyAlignment="1">
      <alignment horizontal="center" vertical="center" wrapText="1"/>
    </xf>
    <xf numFmtId="9" fontId="10" fillId="0" borderId="0" xfId="3" applyFont="1"/>
    <xf numFmtId="0" fontId="18" fillId="13" borderId="0" xfId="4" applyFont="1" applyFill="1" applyAlignment="1">
      <alignment horizontal="center" vertical="center" wrapText="1"/>
    </xf>
    <xf numFmtId="0" fontId="13" fillId="13" borderId="0" xfId="4" applyFont="1" applyFill="1" applyAlignment="1">
      <alignment horizontal="right"/>
    </xf>
    <xf numFmtId="164" fontId="13" fillId="13" borderId="4" xfId="1" applyNumberFormat="1" applyFont="1" applyFill="1" applyBorder="1" applyAlignment="1" applyProtection="1">
      <alignment horizontal="center" vertical="center" wrapText="1"/>
      <protection hidden="1"/>
    </xf>
    <xf numFmtId="164" fontId="13" fillId="13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13" borderId="4" xfId="4" applyFont="1" applyFill="1" applyBorder="1" applyAlignment="1" applyProtection="1">
      <alignment horizontal="left" vertical="center" wrapText="1"/>
      <protection hidden="1"/>
    </xf>
    <xf numFmtId="0" fontId="13" fillId="13" borderId="3" xfId="4" applyFont="1" applyFill="1" applyBorder="1" applyAlignment="1" applyProtection="1">
      <alignment horizontal="left" vertical="center" wrapText="1"/>
      <protection hidden="1"/>
    </xf>
    <xf numFmtId="0" fontId="13" fillId="13" borderId="5" xfId="4" applyFont="1" applyFill="1" applyBorder="1" applyAlignment="1" applyProtection="1">
      <alignment horizontal="center" vertical="center" wrapText="1"/>
      <protection hidden="1"/>
    </xf>
    <xf numFmtId="0" fontId="13" fillId="13" borderId="15" xfId="4" applyFont="1" applyFill="1" applyBorder="1" applyAlignment="1" applyProtection="1">
      <alignment horizontal="center" vertical="center" wrapText="1"/>
      <protection hidden="1"/>
    </xf>
    <xf numFmtId="0" fontId="13" fillId="13" borderId="5" xfId="4" applyFont="1" applyFill="1" applyBorder="1" applyAlignment="1" applyProtection="1">
      <alignment horizontal="left" vertical="center" wrapText="1"/>
      <protection hidden="1"/>
    </xf>
    <xf numFmtId="0" fontId="13" fillId="13" borderId="15" xfId="4" applyFont="1" applyFill="1" applyBorder="1" applyAlignment="1" applyProtection="1">
      <alignment horizontal="left" vertical="center" wrapText="1"/>
      <protection hidden="1"/>
    </xf>
    <xf numFmtId="0" fontId="13" fillId="13" borderId="6" xfId="4" applyFont="1" applyFill="1" applyBorder="1" applyAlignment="1" applyProtection="1">
      <alignment horizontal="left" vertical="center" wrapText="1"/>
      <protection hidden="1"/>
    </xf>
    <xf numFmtId="9" fontId="13" fillId="13" borderId="5" xfId="3" applyFont="1" applyFill="1" applyBorder="1" applyAlignment="1" applyProtection="1">
      <alignment horizontal="left" vertical="center" wrapText="1"/>
      <protection hidden="1"/>
    </xf>
    <xf numFmtId="9" fontId="13" fillId="13" borderId="6" xfId="3" applyFont="1" applyFill="1" applyBorder="1" applyAlignment="1" applyProtection="1">
      <alignment horizontal="left" vertical="center" wrapText="1"/>
      <protection hidden="1"/>
    </xf>
    <xf numFmtId="0" fontId="13" fillId="13" borderId="0" xfId="4" applyFont="1" applyFill="1" applyBorder="1" applyAlignment="1" applyProtection="1">
      <alignment horizontal="left" vertical="center" wrapText="1"/>
      <protection hidden="1"/>
    </xf>
    <xf numFmtId="0" fontId="13" fillId="13" borderId="10" xfId="4" applyFont="1" applyFill="1" applyBorder="1" applyAlignment="1" applyProtection="1">
      <alignment horizontal="left" vertical="center" wrapText="1"/>
      <protection hidden="1"/>
    </xf>
    <xf numFmtId="0" fontId="13" fillId="13" borderId="6" xfId="4" applyFont="1" applyFill="1" applyBorder="1" applyAlignment="1" applyProtection="1">
      <alignment horizontal="center" vertical="center" wrapText="1"/>
      <protection hidden="1"/>
    </xf>
    <xf numFmtId="0" fontId="13" fillId="13" borderId="2" xfId="4" applyFont="1" applyFill="1" applyBorder="1" applyAlignment="1" applyProtection="1">
      <alignment horizontal="center" vertical="center" wrapText="1"/>
      <protection hidden="1"/>
    </xf>
    <xf numFmtId="164" fontId="13" fillId="13" borderId="5" xfId="1" applyNumberFormat="1" applyFont="1" applyFill="1" applyBorder="1" applyAlignment="1" applyProtection="1">
      <alignment horizontal="center" vertical="center" wrapText="1"/>
      <protection hidden="1"/>
    </xf>
    <xf numFmtId="164" fontId="13" fillId="13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13" borderId="8" xfId="4" applyFont="1" applyFill="1" applyBorder="1" applyAlignment="1" applyProtection="1">
      <alignment horizontal="center" vertical="center" wrapText="1"/>
      <protection hidden="1"/>
    </xf>
    <xf numFmtId="0" fontId="13" fillId="13" borderId="10" xfId="4" applyFont="1" applyFill="1" applyBorder="1" applyAlignment="1" applyProtection="1">
      <alignment horizontal="center" vertical="center" wrapText="1"/>
      <protection hidden="1"/>
    </xf>
    <xf numFmtId="164" fontId="13" fillId="13" borderId="4" xfId="1" applyNumberFormat="1" applyFont="1" applyFill="1" applyBorder="1" applyAlignment="1" applyProtection="1">
      <alignment horizontal="left" vertical="center" wrapText="1"/>
      <protection hidden="1"/>
    </xf>
    <xf numFmtId="164" fontId="13" fillId="13" borderId="3" xfId="1" applyNumberFormat="1" applyFont="1" applyFill="1" applyBorder="1" applyAlignment="1" applyProtection="1">
      <alignment horizontal="left" vertical="center" wrapText="1"/>
      <protection hidden="1"/>
    </xf>
    <xf numFmtId="43" fontId="10" fillId="11" borderId="0" xfId="1" applyFont="1" applyFill="1" applyBorder="1" applyAlignment="1" applyProtection="1">
      <alignment horizontal="right"/>
      <protection hidden="1"/>
    </xf>
    <xf numFmtId="43" fontId="10" fillId="11" borderId="14" xfId="1" applyFont="1" applyFill="1" applyBorder="1" applyAlignment="1" applyProtection="1">
      <alignment horizontal="right"/>
      <protection hidden="1"/>
    </xf>
    <xf numFmtId="0" fontId="7" fillId="13" borderId="10" xfId="4" applyFont="1" applyFill="1" applyBorder="1" applyAlignment="1" applyProtection="1">
      <alignment horizontal="center"/>
      <protection hidden="1"/>
    </xf>
    <xf numFmtId="43" fontId="2" fillId="13" borderId="4" xfId="1" applyFont="1" applyFill="1" applyBorder="1" applyAlignment="1" applyProtection="1">
      <alignment horizontal="left" vertical="center" wrapText="1"/>
      <protection hidden="1"/>
    </xf>
    <xf numFmtId="43" fontId="2" fillId="13" borderId="3" xfId="1" applyFont="1" applyFill="1" applyBorder="1" applyAlignment="1" applyProtection="1">
      <alignment horizontal="left" vertical="center" wrapText="1"/>
      <protection hidden="1"/>
    </xf>
    <xf numFmtId="0" fontId="2" fillId="13" borderId="2" xfId="4" applyFont="1" applyFill="1" applyBorder="1" applyAlignment="1" applyProtection="1">
      <alignment horizontal="center" vertical="center" wrapText="1"/>
      <protection hidden="1"/>
    </xf>
    <xf numFmtId="0" fontId="2" fillId="13" borderId="5" xfId="4" applyFont="1" applyFill="1" applyBorder="1" applyAlignment="1" applyProtection="1">
      <alignment horizontal="center" vertical="center" wrapText="1"/>
      <protection hidden="1"/>
    </xf>
    <xf numFmtId="0" fontId="2" fillId="13" borderId="6" xfId="4" applyFont="1" applyFill="1" applyBorder="1" applyAlignment="1" applyProtection="1">
      <alignment horizontal="center" vertical="center" wrapText="1"/>
      <protection hidden="1"/>
    </xf>
    <xf numFmtId="0" fontId="2" fillId="13" borderId="4" xfId="4" applyFont="1" applyFill="1" applyBorder="1" applyAlignment="1" applyProtection="1">
      <alignment horizontal="center" vertical="center" wrapText="1"/>
      <protection locked="0" hidden="1"/>
    </xf>
    <xf numFmtId="0" fontId="2" fillId="13" borderId="3" xfId="4" applyFont="1" applyFill="1" applyBorder="1" applyAlignment="1" applyProtection="1">
      <alignment horizontal="center" vertical="center" wrapText="1"/>
      <protection locked="0" hidden="1"/>
    </xf>
    <xf numFmtId="43" fontId="2" fillId="13" borderId="4" xfId="1" applyFont="1" applyFill="1" applyBorder="1" applyAlignment="1" applyProtection="1">
      <alignment horizontal="left" vertical="center" wrapText="1"/>
      <protection locked="0" hidden="1"/>
    </xf>
    <xf numFmtId="43" fontId="2" fillId="13" borderId="3" xfId="1" applyFont="1" applyFill="1" applyBorder="1" applyAlignment="1" applyProtection="1">
      <alignment horizontal="left" vertical="center" wrapText="1"/>
      <protection locked="0" hidden="1"/>
    </xf>
    <xf numFmtId="0" fontId="2" fillId="13" borderId="2" xfId="4" applyFont="1" applyFill="1" applyBorder="1" applyAlignment="1" applyProtection="1">
      <alignment horizontal="center" vertical="center" wrapText="1"/>
      <protection locked="0" hidden="1"/>
    </xf>
    <xf numFmtId="0" fontId="7" fillId="8" borderId="10" xfId="4" applyFont="1" applyFill="1" applyBorder="1" applyAlignment="1">
      <alignment horizontal="center"/>
    </xf>
    <xf numFmtId="43" fontId="2" fillId="8" borderId="4" xfId="1" applyFont="1" applyFill="1" applyBorder="1" applyAlignment="1">
      <alignment horizontal="left" vertical="center" wrapText="1"/>
    </xf>
    <xf numFmtId="43" fontId="2" fillId="8" borderId="3" xfId="1" applyFont="1" applyFill="1" applyBorder="1" applyAlignment="1">
      <alignment horizontal="left" vertical="center" wrapText="1"/>
    </xf>
    <xf numFmtId="0" fontId="2" fillId="8" borderId="2" xfId="4" applyFont="1" applyFill="1" applyBorder="1" applyAlignment="1">
      <alignment horizontal="center" vertical="center" wrapText="1"/>
    </xf>
    <xf numFmtId="0" fontId="2" fillId="8" borderId="4" xfId="4" applyFont="1" applyFill="1" applyBorder="1" applyAlignment="1">
      <alignment horizontal="center" vertical="center" wrapText="1"/>
    </xf>
    <xf numFmtId="0" fontId="2" fillId="8" borderId="3" xfId="4" applyFont="1" applyFill="1" applyBorder="1" applyAlignment="1">
      <alignment horizontal="center" vertical="center" wrapText="1"/>
    </xf>
    <xf numFmtId="0" fontId="2" fillId="8" borderId="5" xfId="4" applyFont="1" applyFill="1" applyBorder="1" applyAlignment="1">
      <alignment horizontal="center" vertical="center" wrapText="1"/>
    </xf>
    <xf numFmtId="0" fontId="2" fillId="8" borderId="6" xfId="4" applyFont="1" applyFill="1" applyBorder="1" applyAlignment="1">
      <alignment horizontal="center" vertical="center" wrapText="1"/>
    </xf>
    <xf numFmtId="0" fontId="7" fillId="8" borderId="10" xfId="4" applyFont="1" applyFill="1" applyBorder="1" applyAlignment="1" applyProtection="1">
      <alignment horizontal="center"/>
      <protection hidden="1"/>
    </xf>
    <xf numFmtId="0" fontId="2" fillId="13" borderId="2" xfId="4" applyFont="1" applyFill="1" applyBorder="1" applyAlignment="1" applyProtection="1">
      <alignment horizontal="center" vertical="center"/>
      <protection hidden="1"/>
    </xf>
    <xf numFmtId="0" fontId="2" fillId="13" borderId="11" xfId="4" applyFont="1" applyFill="1" applyBorder="1" applyAlignment="1" applyProtection="1">
      <alignment horizontal="center"/>
      <protection hidden="1"/>
    </xf>
    <xf numFmtId="0" fontId="2" fillId="13" borderId="12" xfId="4" applyFont="1" applyFill="1" applyBorder="1" applyAlignment="1" applyProtection="1">
      <alignment horizontal="center"/>
      <protection hidden="1"/>
    </xf>
    <xf numFmtId="0" fontId="2" fillId="13" borderId="13" xfId="4" applyFont="1" applyFill="1" applyBorder="1" applyAlignment="1" applyProtection="1">
      <alignment horizontal="center"/>
      <protection hidden="1"/>
    </xf>
    <xf numFmtId="0" fontId="2" fillId="13" borderId="8" xfId="4" applyFont="1" applyFill="1" applyBorder="1" applyAlignment="1" applyProtection="1">
      <alignment horizontal="center"/>
      <protection hidden="1"/>
    </xf>
    <xf numFmtId="0" fontId="2" fillId="13" borderId="10" xfId="4" applyFont="1" applyFill="1" applyBorder="1" applyAlignment="1" applyProtection="1">
      <alignment horizontal="center"/>
      <protection hidden="1"/>
    </xf>
    <xf numFmtId="0" fontId="2" fillId="8" borderId="2" xfId="4" applyFont="1" applyFill="1" applyBorder="1" applyAlignment="1">
      <alignment horizontal="center"/>
    </xf>
    <xf numFmtId="0" fontId="2" fillId="8" borderId="2" xfId="4" applyFont="1" applyFill="1" applyBorder="1" applyAlignment="1">
      <alignment horizontal="center" vertical="center"/>
    </xf>
    <xf numFmtId="0" fontId="2" fillId="8" borderId="10" xfId="4" applyFont="1" applyFill="1" applyBorder="1" applyAlignment="1">
      <alignment horizontal="center"/>
    </xf>
    <xf numFmtId="0" fontId="2" fillId="8" borderId="9" xfId="4" applyFont="1" applyFill="1" applyBorder="1" applyAlignment="1">
      <alignment horizontal="center"/>
    </xf>
    <xf numFmtId="0" fontId="2" fillId="13" borderId="15" xfId="4" applyFont="1" applyFill="1" applyBorder="1" applyAlignment="1" applyProtection="1">
      <alignment horizontal="center" vertical="center" wrapText="1"/>
      <protection hidden="1"/>
    </xf>
    <xf numFmtId="43" fontId="2" fillId="13" borderId="5" xfId="1" applyFont="1" applyFill="1" applyBorder="1" applyAlignment="1" applyProtection="1">
      <alignment horizontal="left" vertical="center" wrapText="1"/>
      <protection hidden="1"/>
    </xf>
    <xf numFmtId="43" fontId="2" fillId="13" borderId="15" xfId="1" applyFont="1" applyFill="1" applyBorder="1" applyAlignment="1" applyProtection="1">
      <alignment horizontal="left" vertical="center" wrapText="1"/>
      <protection hidden="1"/>
    </xf>
    <xf numFmtId="43" fontId="2" fillId="13" borderId="16" xfId="1" applyFont="1" applyFill="1" applyBorder="1" applyAlignment="1" applyProtection="1">
      <alignment horizontal="left" vertical="center" wrapText="1"/>
      <protection hidden="1"/>
    </xf>
    <xf numFmtId="0" fontId="2" fillId="13" borderId="4" xfId="4" applyFont="1" applyFill="1" applyBorder="1" applyAlignment="1" applyProtection="1">
      <alignment horizontal="left" vertical="center" wrapText="1"/>
      <protection hidden="1"/>
    </xf>
    <xf numFmtId="0" fontId="2" fillId="13" borderId="7" xfId="4" applyFont="1" applyFill="1" applyBorder="1" applyAlignment="1" applyProtection="1">
      <alignment horizontal="left" vertical="center" wrapText="1"/>
      <protection hidden="1"/>
    </xf>
    <xf numFmtId="0" fontId="2" fillId="13" borderId="3" xfId="4" applyFont="1" applyFill="1" applyBorder="1" applyAlignment="1" applyProtection="1">
      <alignment horizontal="left" vertical="center" wrapText="1"/>
      <protection hidden="1"/>
    </xf>
    <xf numFmtId="0" fontId="2" fillId="13" borderId="4" xfId="4" applyFont="1" applyFill="1" applyBorder="1" applyAlignment="1" applyProtection="1">
      <alignment horizontal="center" vertical="center" wrapText="1"/>
      <protection hidden="1"/>
    </xf>
    <xf numFmtId="0" fontId="2" fillId="13" borderId="3" xfId="4" applyFont="1" applyFill="1" applyBorder="1" applyAlignment="1" applyProtection="1">
      <alignment horizontal="center" vertical="center" wrapText="1"/>
      <protection hidden="1"/>
    </xf>
    <xf numFmtId="0" fontId="2" fillId="13" borderId="5" xfId="4" applyFont="1" applyFill="1" applyBorder="1" applyAlignment="1" applyProtection="1">
      <alignment horizontal="left" vertical="center" wrapText="1"/>
      <protection hidden="1"/>
    </xf>
    <xf numFmtId="0" fontId="2" fillId="13" borderId="15" xfId="4" applyFont="1" applyFill="1" applyBorder="1" applyAlignment="1" applyProtection="1">
      <alignment horizontal="left" vertical="center" wrapText="1"/>
      <protection hidden="1"/>
    </xf>
    <xf numFmtId="0" fontId="2" fillId="13" borderId="16" xfId="4" applyFont="1" applyFill="1" applyBorder="1" applyAlignment="1" applyProtection="1">
      <alignment horizontal="left" vertical="center" wrapText="1"/>
      <protection hidden="1"/>
    </xf>
    <xf numFmtId="164" fontId="0" fillId="0" borderId="0" xfId="1" applyNumberFormat="1" applyFont="1" applyAlignment="1" applyProtection="1">
      <alignment horizontal="center" vertical="center"/>
      <protection hidden="1"/>
    </xf>
    <xf numFmtId="43" fontId="2" fillId="13" borderId="2" xfId="1" applyFont="1" applyFill="1" applyBorder="1" applyAlignment="1" applyProtection="1">
      <alignment horizontal="right"/>
      <protection hidden="1"/>
    </xf>
    <xf numFmtId="43" fontId="2" fillId="8" borderId="4" xfId="1" applyFont="1" applyFill="1" applyBorder="1" applyAlignment="1" applyProtection="1">
      <alignment horizontal="left" vertical="center" wrapText="1"/>
      <protection hidden="1"/>
    </xf>
    <xf numFmtId="43" fontId="2" fillId="8" borderId="3" xfId="1" applyFont="1" applyFill="1" applyBorder="1" applyAlignment="1" applyProtection="1">
      <alignment horizontal="left" vertical="center" wrapText="1"/>
      <protection hidden="1"/>
    </xf>
    <xf numFmtId="9" fontId="2" fillId="13" borderId="2" xfId="3" applyFont="1" applyFill="1" applyBorder="1" applyAlignment="1" applyProtection="1">
      <alignment horizontal="center" vertical="center" wrapText="1"/>
      <protection hidden="1"/>
    </xf>
    <xf numFmtId="0" fontId="2" fillId="13" borderId="0" xfId="4" applyFont="1" applyFill="1" applyBorder="1" applyAlignment="1">
      <alignment horizontal="center" vertical="center" wrapText="1"/>
    </xf>
    <xf numFmtId="0" fontId="2" fillId="13" borderId="5" xfId="4" applyFont="1" applyFill="1" applyBorder="1" applyAlignment="1">
      <alignment horizontal="center" vertical="center" wrapText="1"/>
    </xf>
    <xf numFmtId="0" fontId="2" fillId="13" borderId="6" xfId="4" applyFont="1" applyFill="1" applyBorder="1" applyAlignment="1">
      <alignment horizontal="center" vertical="center" wrapText="1"/>
    </xf>
    <xf numFmtId="0" fontId="2" fillId="13" borderId="4" xfId="4" applyFont="1" applyFill="1" applyBorder="1" applyAlignment="1">
      <alignment horizontal="center" vertical="center" wrapText="1"/>
    </xf>
    <xf numFmtId="0" fontId="2" fillId="13" borderId="3" xfId="4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/>
    </xf>
    <xf numFmtId="0" fontId="11" fillId="0" borderId="0" xfId="0" applyFont="1" applyAlignment="1">
      <alignment horizontal="center" vertical="center" textRotation="90"/>
    </xf>
    <xf numFmtId="0" fontId="2" fillId="13" borderId="10" xfId="8" applyFont="1" applyFill="1" applyBorder="1" applyAlignment="1" applyProtection="1">
      <alignment horizontal="center" vertical="center"/>
      <protection hidden="1"/>
    </xf>
    <xf numFmtId="0" fontId="2" fillId="13" borderId="2" xfId="0" applyFont="1" applyFill="1" applyBorder="1" applyAlignment="1">
      <alignment horizontal="center" vertical="center" wrapText="1"/>
    </xf>
    <xf numFmtId="43" fontId="2" fillId="13" borderId="2" xfId="1" applyFont="1" applyFill="1" applyBorder="1" applyAlignment="1" applyProtection="1">
      <alignment horizontal="right" vertical="center"/>
      <protection hidden="1"/>
    </xf>
  </cellXfs>
  <cellStyles count="10">
    <cellStyle name="20% - Accent1" xfId="5" builtinId="30"/>
    <cellStyle name="40% - Accent1" xfId="6" builtinId="31"/>
    <cellStyle name="60% - Accent1" xfId="7" builtinId="32"/>
    <cellStyle name="Accent1" xfId="4" builtinId="29"/>
    <cellStyle name="Comma" xfId="1" builtinId="3"/>
    <cellStyle name="Currency" xfId="2" builtinId="4"/>
    <cellStyle name="Input" xfId="9" builtinId="20"/>
    <cellStyle name="Normal" xfId="0" builtinId="0"/>
    <cellStyle name="Normal 2" xfId="8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BHU_Cost!$N$54</c:f>
              <c:strCache>
                <c:ptCount val="1"/>
                <c:pt idx="0">
                  <c:v>Cost per capita: Standard Estimates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</c:numCache>
            </c:numRef>
          </c:cat>
          <c:val>
            <c:numRef>
              <c:f>BHU_Cost!$J$54:$M$54</c:f>
              <c:numCache>
                <c:formatCode>_("$"* #,##0.00_);_("$"* \(#,##0.00\);_("$"* "-"??_);_(@_)</c:formatCode>
                <c:ptCount val="4"/>
                <c:pt idx="0">
                  <c:v>3.3697533092856911</c:v>
                </c:pt>
                <c:pt idx="1">
                  <c:v>2.4212282776937668</c:v>
                </c:pt>
                <c:pt idx="2">
                  <c:v>1.9469657618978045</c:v>
                </c:pt>
                <c:pt idx="3">
                  <c:v>1.6624082524202273</c:v>
                </c:pt>
              </c:numCache>
            </c:numRef>
          </c:val>
        </c:ser>
        <c:ser>
          <c:idx val="1"/>
          <c:order val="1"/>
          <c:tx>
            <c:strRef>
              <c:f>BHU_Cost!$N$55</c:f>
              <c:strCache>
                <c:ptCount val="1"/>
                <c:pt idx="0">
                  <c:v>Cost per capita: Scenario Projection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</c:numCache>
            </c:numRef>
          </c:cat>
          <c:val>
            <c:numRef>
              <c:f>BHU_Cost!$J$55:$M$55</c:f>
              <c:numCache>
                <c:formatCode>_("$"* #,##0.00_);_("$"* \(#,##0.00\);_("$"* "-"??_);_(@_)</c:formatCode>
                <c:ptCount val="4"/>
                <c:pt idx="0">
                  <c:v>3.2844089145565731</c:v>
                </c:pt>
                <c:pt idx="1">
                  <c:v>2.3885762356384035</c:v>
                </c:pt>
                <c:pt idx="2">
                  <c:v>1.9406598961793189</c:v>
                </c:pt>
                <c:pt idx="3">
                  <c:v>1.6719100925038684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98260544"/>
        <c:axId val="498249568"/>
      </c:barChart>
      <c:lineChart>
        <c:grouping val="standard"/>
        <c:varyColors val="0"/>
        <c:ser>
          <c:idx val="2"/>
          <c:order val="2"/>
          <c:tx>
            <c:strRef>
              <c:f>BHU_Cost!$N$56</c:f>
              <c:strCache>
                <c:ptCount val="1"/>
                <c:pt idx="0">
                  <c:v>Utilisation: Standard Estimates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</c:numCache>
            </c:numRef>
          </c:cat>
          <c:val>
            <c:numRef>
              <c:f>BHU_Cost!$J$56:$M$56</c:f>
              <c:numCache>
                <c:formatCode>0%</c:formatCode>
                <c:ptCount val="4"/>
                <c:pt idx="0">
                  <c:v>0.13359605078890754</c:v>
                </c:pt>
                <c:pt idx="1">
                  <c:v>0.20039407618336144</c:v>
                </c:pt>
                <c:pt idx="2">
                  <c:v>0.26719210157781509</c:v>
                </c:pt>
                <c:pt idx="3">
                  <c:v>0.3339901269722691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BHU_Cost!$N$57</c:f>
              <c:strCache>
                <c:ptCount val="1"/>
                <c:pt idx="0">
                  <c:v>Utilisation: Scenario Projections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</c:numCache>
            </c:numRef>
          </c:cat>
          <c:val>
            <c:numRef>
              <c:f>BHU_Cost!$J$57:$M$57</c:f>
              <c:numCache>
                <c:formatCode>0%</c:formatCode>
                <c:ptCount val="4"/>
                <c:pt idx="0">
                  <c:v>0.15114185571364103</c:v>
                </c:pt>
                <c:pt idx="1">
                  <c:v>0.23045318761086558</c:v>
                </c:pt>
                <c:pt idx="2">
                  <c:v>0.30228371142728205</c:v>
                </c:pt>
                <c:pt idx="3">
                  <c:v>0.37785463928410257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8249960"/>
        <c:axId val="498258976"/>
      </c:lineChart>
      <c:catAx>
        <c:axId val="49826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Catchment Population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498249568"/>
        <c:crosses val="autoZero"/>
        <c:auto val="1"/>
        <c:lblAlgn val="ctr"/>
        <c:lblOffset val="100"/>
        <c:noMultiLvlLbl val="0"/>
      </c:catAx>
      <c:valAx>
        <c:axId val="498249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1"/>
                </a:pPr>
                <a:r>
                  <a:rPr lang="en-US" sz="1400" b="1"/>
                  <a:t>Cost per Capita (USD)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498260544"/>
        <c:crosses val="autoZero"/>
        <c:crossBetween val="between"/>
      </c:valAx>
      <c:valAx>
        <c:axId val="4982589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Utilisation Capacity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498249960"/>
        <c:crosses val="max"/>
        <c:crossBetween val="between"/>
      </c:valAx>
      <c:catAx>
        <c:axId val="498249960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49825897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1200" b="1" i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BHU_Cost!$B$25</c:f>
              <c:strCache>
                <c:ptCount val="1"/>
                <c:pt idx="0">
                  <c:v>Total Cost per Capita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BHU_Cost!$C$3:$F$3</c:f>
              <c:numCache>
                <c:formatCode>_(* #,##0_);_(* \(#,##0\);_(* "-"??_);_(@_)</c:formatCode>
                <c:ptCount val="4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</c:numCache>
            </c:numRef>
          </c:cat>
          <c:val>
            <c:numRef>
              <c:f>BHU_Cost!$C$25:$F$25</c:f>
              <c:numCache>
                <c:formatCode>_([$PKR]\ * #,##0_);_([$PKR]\ * \(#,##0\);_([$PKR]\ * "-"??_);_(@_)</c:formatCode>
                <c:ptCount val="4"/>
                <c:pt idx="0">
                  <c:v>347.08459085642619</c:v>
                </c:pt>
                <c:pt idx="1">
                  <c:v>249.386512602458</c:v>
                </c:pt>
                <c:pt idx="2">
                  <c:v>200.53747347547386</c:v>
                </c:pt>
                <c:pt idx="3">
                  <c:v>171.2280499992834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8255448"/>
        <c:axId val="498254272"/>
      </c:lineChart>
      <c:catAx>
        <c:axId val="498255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Catchment Population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2000" b="1"/>
            </a:pPr>
            <a:endParaRPr lang="en-US"/>
          </a:p>
        </c:txPr>
        <c:crossAx val="498254272"/>
        <c:crosses val="autoZero"/>
        <c:auto val="1"/>
        <c:lblAlgn val="ctr"/>
        <c:lblOffset val="100"/>
        <c:noMultiLvlLbl val="0"/>
      </c:catAx>
      <c:valAx>
        <c:axId val="498254272"/>
        <c:scaling>
          <c:orientation val="minMax"/>
        </c:scaling>
        <c:delete val="1"/>
        <c:axPos val="l"/>
        <c:numFmt formatCode="_([$PKR]\ * #,##0_);_([$PKR]\ * \(#,##0\);_([$PKR]\ * &quot;-&quot;??_);_(@_)" sourceLinked="1"/>
        <c:majorTickMark val="out"/>
        <c:minorTickMark val="none"/>
        <c:tickLblPos val="nextTo"/>
        <c:crossAx val="49825544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2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Financing!$C$18</c:f>
              <c:strCache>
                <c:ptCount val="1"/>
                <c:pt idx="0">
                  <c:v> District Government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Financing!$E$18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Financing!$C$19</c:f>
              <c:strCache>
                <c:ptCount val="1"/>
                <c:pt idx="0">
                  <c:v> Provincial Government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Financing!$E$19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Financing!$C$20</c:f>
              <c:strCache>
                <c:ptCount val="1"/>
                <c:pt idx="0">
                  <c:v> Federal Government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85313861856235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Financing!$E$20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Financing!$C$21</c:f>
              <c:strCache>
                <c:ptCount val="1"/>
                <c:pt idx="0">
                  <c:v> Development Partners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38452480418745E-2"/>
                  <c:y val="-6.8434541014383106E-3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Financing!$E$21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98256624"/>
        <c:axId val="498257016"/>
        <c:axId val="0"/>
      </c:bar3DChart>
      <c:catAx>
        <c:axId val="498256624"/>
        <c:scaling>
          <c:orientation val="minMax"/>
        </c:scaling>
        <c:delete val="1"/>
        <c:axPos val="l"/>
        <c:majorTickMark val="none"/>
        <c:minorTickMark val="none"/>
        <c:tickLblPos val="nextTo"/>
        <c:crossAx val="498257016"/>
        <c:crosses val="autoZero"/>
        <c:auto val="1"/>
        <c:lblAlgn val="ctr"/>
        <c:lblOffset val="100"/>
        <c:noMultiLvlLbl val="0"/>
      </c:catAx>
      <c:valAx>
        <c:axId val="498257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4982566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Sheet2!$C$4</c:f>
              <c:strCache>
                <c:ptCount val="1"/>
                <c:pt idx="0">
                  <c:v>Total Cost (PKR)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Sheet2!$D$3:$H$3</c:f>
              <c:strCache>
                <c:ptCount val="5"/>
                <c:pt idx="0">
                  <c:v>40,000</c:v>
                </c:pt>
                <c:pt idx="1">
                  <c:v>75,000</c:v>
                </c:pt>
                <c:pt idx="2">
                  <c:v>125,000</c:v>
                </c:pt>
                <c:pt idx="3">
                  <c:v>175,000</c:v>
                </c:pt>
                <c:pt idx="4">
                  <c:v>200,000</c:v>
                </c:pt>
              </c:strCache>
            </c:strRef>
          </c:cat>
          <c:val>
            <c:numRef>
              <c:f>Sheet2!$D$4:$H$4</c:f>
              <c:numCache>
                <c:formatCode>_(* #,##0_);_(* \(#,##0\);_(* "-"??_);_(@_)</c:formatCode>
                <c:ptCount val="5"/>
                <c:pt idx="0">
                  <c:v>347.08459085642625</c:v>
                </c:pt>
                <c:pt idx="1">
                  <c:v>249.38651260245797</c:v>
                </c:pt>
                <c:pt idx="2">
                  <c:v>200.53747347547386</c:v>
                </c:pt>
                <c:pt idx="3">
                  <c:v>171.2280499992834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8251136"/>
        <c:axId val="498257800"/>
      </c:lineChart>
      <c:catAx>
        <c:axId val="49825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/>
                  <a:t>Catchment Population</a:t>
                </a:r>
              </a:p>
            </c:rich>
          </c:tx>
          <c:layout>
            <c:manualLayout>
              <c:xMode val="edge"/>
              <c:yMode val="edge"/>
              <c:x val="0.43448495676922944"/>
              <c:y val="0.8746985872049012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498257800"/>
        <c:crosses val="autoZero"/>
        <c:auto val="1"/>
        <c:lblAlgn val="ctr"/>
        <c:lblOffset val="100"/>
        <c:noMultiLvlLbl val="0"/>
      </c:catAx>
      <c:valAx>
        <c:axId val="498257800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498251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90683697871099"/>
          <c:y val="0.18120243813963768"/>
          <c:w val="0.24093158660844249"/>
          <c:h val="9.9481020371128714E-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BHU_Cost!$N$54</c:f>
              <c:strCache>
                <c:ptCount val="1"/>
                <c:pt idx="0">
                  <c:v>Cost per capita: Standard Estimates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</c:numCache>
            </c:numRef>
          </c:cat>
          <c:val>
            <c:numRef>
              <c:f>BHU_Cost!$J$54:$M$54</c:f>
              <c:numCache>
                <c:formatCode>_("$"* #,##0.00_);_("$"* \(#,##0.00\);_("$"* "-"??_);_(@_)</c:formatCode>
                <c:ptCount val="4"/>
                <c:pt idx="0">
                  <c:v>3.3697533092856911</c:v>
                </c:pt>
                <c:pt idx="1">
                  <c:v>2.4212282776937668</c:v>
                </c:pt>
                <c:pt idx="2">
                  <c:v>1.9469657618978045</c:v>
                </c:pt>
                <c:pt idx="3">
                  <c:v>1.6624082524202273</c:v>
                </c:pt>
              </c:numCache>
            </c:numRef>
          </c:val>
        </c:ser>
        <c:ser>
          <c:idx val="1"/>
          <c:order val="1"/>
          <c:tx>
            <c:strRef>
              <c:f>BHU_Cost!$N$55</c:f>
              <c:strCache>
                <c:ptCount val="1"/>
                <c:pt idx="0">
                  <c:v>Cost per capita: Scenario Projection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</c:numCache>
            </c:numRef>
          </c:cat>
          <c:val>
            <c:numRef>
              <c:f>BHU_Cost!$J$55:$M$55</c:f>
              <c:numCache>
                <c:formatCode>_("$"* #,##0.00_);_("$"* \(#,##0.00\);_("$"* "-"??_);_(@_)</c:formatCode>
                <c:ptCount val="4"/>
                <c:pt idx="0">
                  <c:v>3.2844089145565731</c:v>
                </c:pt>
                <c:pt idx="1">
                  <c:v>2.3885762356384035</c:v>
                </c:pt>
                <c:pt idx="2">
                  <c:v>1.9406598961793189</c:v>
                </c:pt>
                <c:pt idx="3">
                  <c:v>1.6719100925038684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98252312"/>
        <c:axId val="498252704"/>
      </c:barChart>
      <c:lineChart>
        <c:grouping val="standard"/>
        <c:varyColors val="0"/>
        <c:ser>
          <c:idx val="2"/>
          <c:order val="2"/>
          <c:tx>
            <c:strRef>
              <c:f>BHU_Cost!$N$56</c:f>
              <c:strCache>
                <c:ptCount val="1"/>
                <c:pt idx="0">
                  <c:v>Utilisation: Standard Estimates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</c:numCache>
            </c:numRef>
          </c:cat>
          <c:val>
            <c:numRef>
              <c:f>BHU_Cost!$J$56:$M$56</c:f>
              <c:numCache>
                <c:formatCode>0%</c:formatCode>
                <c:ptCount val="4"/>
                <c:pt idx="0">
                  <c:v>0.13359605078890754</c:v>
                </c:pt>
                <c:pt idx="1">
                  <c:v>0.20039407618336144</c:v>
                </c:pt>
                <c:pt idx="2">
                  <c:v>0.26719210157781509</c:v>
                </c:pt>
                <c:pt idx="3">
                  <c:v>0.3339901269722691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BHU_Cost!$N$57</c:f>
              <c:strCache>
                <c:ptCount val="1"/>
                <c:pt idx="0">
                  <c:v>Utilisation: Scenario Projections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</c:numCache>
            </c:numRef>
          </c:cat>
          <c:val>
            <c:numRef>
              <c:f>BHU_Cost!$J$57:$M$57</c:f>
              <c:numCache>
                <c:formatCode>0%</c:formatCode>
                <c:ptCount val="4"/>
                <c:pt idx="0">
                  <c:v>0.15114185571364103</c:v>
                </c:pt>
                <c:pt idx="1">
                  <c:v>0.23045318761086558</c:v>
                </c:pt>
                <c:pt idx="2">
                  <c:v>0.30228371142728205</c:v>
                </c:pt>
                <c:pt idx="3">
                  <c:v>0.37785463928410257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8258584"/>
        <c:axId val="498258192"/>
      </c:lineChart>
      <c:catAx>
        <c:axId val="498252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Catchment Population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498252704"/>
        <c:crosses val="autoZero"/>
        <c:auto val="1"/>
        <c:lblAlgn val="ctr"/>
        <c:lblOffset val="100"/>
        <c:noMultiLvlLbl val="0"/>
      </c:catAx>
      <c:valAx>
        <c:axId val="4982527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1"/>
                </a:pPr>
                <a:r>
                  <a:rPr lang="en-US" sz="1800" b="1"/>
                  <a:t>Cost per Capita (USD)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498252312"/>
        <c:crosses val="autoZero"/>
        <c:crossBetween val="between"/>
      </c:valAx>
      <c:valAx>
        <c:axId val="4982581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Utilisation Capacity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498258584"/>
        <c:crosses val="max"/>
        <c:crossBetween val="between"/>
      </c:valAx>
      <c:catAx>
        <c:axId val="49825858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498258192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1800" b="1" i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64</xdr:row>
      <xdr:rowOff>57150</xdr:rowOff>
    </xdr:from>
    <xdr:to>
      <xdr:col>11</xdr:col>
      <xdr:colOff>219075</xdr:colOff>
      <xdr:row>84</xdr:row>
      <xdr:rowOff>152399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247649</xdr:colOff>
      <xdr:row>13</xdr:row>
      <xdr:rowOff>19050</xdr:rowOff>
    </xdr:from>
    <xdr:to>
      <xdr:col>26</xdr:col>
      <xdr:colOff>428624</xdr:colOff>
      <xdr:row>32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13</xdr:row>
      <xdr:rowOff>33336</xdr:rowOff>
    </xdr:from>
    <xdr:to>
      <xdr:col>13</xdr:col>
      <xdr:colOff>200026</xdr:colOff>
      <xdr:row>42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18</xdr:row>
      <xdr:rowOff>95250</xdr:rowOff>
    </xdr:from>
    <xdr:to>
      <xdr:col>28</xdr:col>
      <xdr:colOff>238125</xdr:colOff>
      <xdr:row>37</xdr:row>
      <xdr:rowOff>19049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13</xdr:row>
      <xdr:rowOff>161925</xdr:rowOff>
    </xdr:from>
    <xdr:to>
      <xdr:col>16</xdr:col>
      <xdr:colOff>352424</xdr:colOff>
      <xdr:row>38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Q26"/>
  <sheetViews>
    <sheetView showGridLines="0" tabSelected="1" workbookViewId="0">
      <selection activeCell="C33" sqref="C33"/>
    </sheetView>
  </sheetViews>
  <sheetFormatPr defaultRowHeight="15" x14ac:dyDescent="0.25"/>
  <sheetData>
    <row r="2" spans="2:17" x14ac:dyDescent="0.25">
      <c r="B2" s="211" t="s">
        <v>965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2:17" x14ac:dyDescent="0.25"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</row>
    <row r="4" spans="2:17" x14ac:dyDescent="0.25"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</row>
    <row r="5" spans="2:17" x14ac:dyDescent="0.25"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</row>
    <row r="6" spans="2:17" x14ac:dyDescent="0.25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</row>
    <row r="7" spans="2:17" x14ac:dyDescent="0.25"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</row>
    <row r="8" spans="2:17" x14ac:dyDescent="0.25"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2:17" x14ac:dyDescent="0.25"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2:17" x14ac:dyDescent="0.25"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2:17" x14ac:dyDescent="0.25"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</row>
    <row r="12" spans="2:17" x14ac:dyDescent="0.25"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</row>
    <row r="13" spans="2:17" x14ac:dyDescent="0.25"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</row>
    <row r="14" spans="2:17" x14ac:dyDescent="0.25"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</row>
    <row r="15" spans="2:17" x14ac:dyDescent="0.25"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2:17" x14ac:dyDescent="0.25"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</row>
    <row r="17" spans="2:17" x14ac:dyDescent="0.25"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7" x14ac:dyDescent="0.25"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</row>
    <row r="19" spans="2:17" x14ac:dyDescent="0.25"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</row>
    <row r="20" spans="2:17" x14ac:dyDescent="0.25"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</row>
    <row r="21" spans="2:17" x14ac:dyDescent="0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</row>
    <row r="22" spans="2:17" x14ac:dyDescent="0.25"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</row>
    <row r="23" spans="2:17" ht="18.75" x14ac:dyDescent="0.3">
      <c r="B23" s="212" t="s">
        <v>959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</row>
    <row r="24" spans="2:17" ht="18.75" x14ac:dyDescent="0.3">
      <c r="B24" s="212" t="s">
        <v>796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</row>
    <row r="25" spans="2:17" ht="18.75" x14ac:dyDescent="0.3">
      <c r="B25" s="212" t="s">
        <v>797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</row>
    <row r="26" spans="2:17" ht="18.75" x14ac:dyDescent="0.3">
      <c r="B26" s="212" t="s">
        <v>972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</row>
  </sheetData>
  <sheetProtection algorithmName="SHA-512" hashValue="3iTgA5EQsd5j80GBQ0f0vSGcX936s9ybmymbp+PIAFyJqAhkIeli7ZJ3sClz+QTwm2LinC9esqFbAMzoOPHRKg==" saltValue="kgbP/FX0n48COcXFoXVEJg==" spinCount="100000" sheet="1" objects="1" scenarios="1"/>
  <mergeCells count="5">
    <mergeCell ref="B2:Q22"/>
    <mergeCell ref="B23:Q23"/>
    <mergeCell ref="B24:Q24"/>
    <mergeCell ref="B25:Q25"/>
    <mergeCell ref="B26:Q26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K53"/>
  <sheetViews>
    <sheetView showGridLines="0" zoomScaleNormal="100" workbookViewId="0">
      <selection activeCell="V30" sqref="V3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5703125" style="63" customWidth="1"/>
    <col min="7" max="7" width="8.5703125" style="63" customWidth="1"/>
    <col min="8" max="8" width="11.5703125" style="63" customWidth="1"/>
    <col min="9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251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94" t="s">
        <v>8</v>
      </c>
      <c r="H5" s="194" t="s">
        <v>2</v>
      </c>
      <c r="I5" s="239"/>
    </row>
    <row r="6" spans="2:11" x14ac:dyDescent="0.25">
      <c r="B6" s="64" t="s">
        <v>421</v>
      </c>
      <c r="C6" s="65">
        <v>1</v>
      </c>
      <c r="D6" s="65">
        <v>1</v>
      </c>
      <c r="E6" s="65">
        <v>1</v>
      </c>
      <c r="F6" s="66">
        <v>1</v>
      </c>
      <c r="G6" s="67">
        <f>C6*D6*E6*F6</f>
        <v>1</v>
      </c>
      <c r="H6" s="68">
        <f>IF(G6=0,"",(VLOOKUP($B$6:$B$15,Drugs_list!$C$9:$K$172,7,FALSE)))</f>
        <v>10.44</v>
      </c>
      <c r="I6" s="68">
        <f>IF(G6=0,"",(G6*H6))</f>
        <v>10.44</v>
      </c>
      <c r="K6" s="63" t="str">
        <f>VLOOKUP($B$6:$B$15,Drugs_list!$C$9:$K$172,9,FALSE)</f>
        <v>1inj</v>
      </c>
    </row>
    <row r="7" spans="2:11" x14ac:dyDescent="0.25">
      <c r="B7" s="64" t="s">
        <v>427</v>
      </c>
      <c r="C7" s="65">
        <v>1</v>
      </c>
      <c r="D7" s="65">
        <v>1</v>
      </c>
      <c r="E7" s="65">
        <v>1</v>
      </c>
      <c r="F7" s="66">
        <v>1</v>
      </c>
      <c r="G7" s="67">
        <f t="shared" ref="G7:G15" si="0">C7*D7*E7*F7</f>
        <v>1</v>
      </c>
      <c r="H7" s="68">
        <f>IF(G7=0,"",(VLOOKUP($B$6:$B$15,Drugs_list!$C$9:$K$172,7,FALSE)))</f>
        <v>1.6497777777777778</v>
      </c>
      <c r="I7" s="68">
        <f t="shared" ref="I7:I15" si="1">IF(G7=0,"",(G7*H7))</f>
        <v>1.6497777777777778</v>
      </c>
      <c r="K7" s="63" t="str">
        <f>VLOOKUP($B$6:$B$15,Drugs_list!$C$9:$K$172,9,FALSE)</f>
        <v>5ml</v>
      </c>
    </row>
    <row r="8" spans="2:11" x14ac:dyDescent="0.25">
      <c r="B8" s="64"/>
      <c r="C8" s="65"/>
      <c r="D8" s="65"/>
      <c r="E8" s="6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 t="s">
        <v>397</v>
      </c>
      <c r="C9" s="65">
        <v>1</v>
      </c>
      <c r="D9" s="65">
        <v>1</v>
      </c>
      <c r="E9" s="65">
        <v>1</v>
      </c>
      <c r="F9" s="66">
        <v>1</v>
      </c>
      <c r="G9" s="67">
        <f t="shared" si="0"/>
        <v>1</v>
      </c>
      <c r="H9" s="68">
        <f>IF(G9=0,"",(VLOOKUP($B$6:$B$15,Drugs_list!$C$9:$K$172,7,FALSE)))</f>
        <v>2.0880000000000001</v>
      </c>
      <c r="I9" s="68">
        <f t="shared" si="1"/>
        <v>2.0880000000000001</v>
      </c>
      <c r="K9" s="63" t="str">
        <f>VLOOKUP($B$6:$B$15,Drugs_list!$C$9:$K$172,9,FALSE)</f>
        <v>1ml</v>
      </c>
    </row>
    <row r="10" spans="2:11" x14ac:dyDescent="0.25">
      <c r="B10" s="64" t="s">
        <v>443</v>
      </c>
      <c r="C10" s="65">
        <v>1</v>
      </c>
      <c r="D10" s="65">
        <v>1</v>
      </c>
      <c r="E10" s="65">
        <v>1</v>
      </c>
      <c r="F10" s="66">
        <v>0.5</v>
      </c>
      <c r="G10" s="67">
        <f t="shared" si="0"/>
        <v>0.5</v>
      </c>
      <c r="H10" s="68">
        <f>IF(G10=0,"",(VLOOKUP($B$6:$B$15,Drugs_list!$C$9:$K$172,7,FALSE)))</f>
        <v>41.76</v>
      </c>
      <c r="I10" s="68">
        <f t="shared" si="1"/>
        <v>20.88</v>
      </c>
      <c r="K10" s="63" t="str">
        <f>VLOOKUP($B$6:$B$15,Drugs_list!$C$9:$K$172,9,FALSE)</f>
        <v>1000ml</v>
      </c>
    </row>
    <row r="11" spans="2:11" x14ac:dyDescent="0.25">
      <c r="B11" s="64" t="s">
        <v>20</v>
      </c>
      <c r="C11" s="65">
        <v>3</v>
      </c>
      <c r="D11" s="65">
        <v>4</v>
      </c>
      <c r="E11" s="65">
        <v>1</v>
      </c>
      <c r="F11" s="66">
        <v>1</v>
      </c>
      <c r="G11" s="67">
        <f t="shared" si="0"/>
        <v>12</v>
      </c>
      <c r="H11" s="68">
        <f>IF(G11=0,"",(VLOOKUP($B$6:$B$15,Drugs_list!$C$9:$K$172,7,FALSE)))</f>
        <v>0.52200000000000002</v>
      </c>
      <c r="I11" s="68">
        <f t="shared" si="1"/>
        <v>6.2640000000000002</v>
      </c>
      <c r="K11" s="63" t="str">
        <f>VLOOKUP($B$6:$B$15,Drugs_list!$C$9:$K$172,9,FALSE)</f>
        <v>1tab</v>
      </c>
    </row>
    <row r="12" spans="2:11" x14ac:dyDescent="0.25">
      <c r="B12" s="64" t="s">
        <v>320</v>
      </c>
      <c r="C12" s="65">
        <v>1</v>
      </c>
      <c r="D12" s="65">
        <v>1</v>
      </c>
      <c r="E12" s="65">
        <v>2</v>
      </c>
      <c r="F12" s="66">
        <v>0.35</v>
      </c>
      <c r="G12" s="67">
        <f t="shared" si="0"/>
        <v>0.7</v>
      </c>
      <c r="H12" s="68">
        <f>IF(G12=0,"",(VLOOKUP($B$6:$B$15,Drugs_list!$C$9:$K$172,7,FALSE)))</f>
        <v>9.2799999999999994</v>
      </c>
      <c r="I12" s="68">
        <f t="shared" si="1"/>
        <v>6.4959999999999996</v>
      </c>
      <c r="K12" s="63" t="str">
        <f>VLOOKUP($B$6:$B$15,Drugs_list!$C$9:$K$172,9,FALSE)</f>
        <v>1inj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187">
        <f>SUM(I6:I15)</f>
        <v>47.817777777777778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94" t="s">
        <v>1</v>
      </c>
      <c r="D20" s="194" t="s">
        <v>513</v>
      </c>
      <c r="E20" s="194" t="s">
        <v>159</v>
      </c>
      <c r="F20" s="194" t="s">
        <v>160</v>
      </c>
    </row>
    <row r="21" spans="2:6" x14ac:dyDescent="0.25">
      <c r="B21" s="64" t="s">
        <v>483</v>
      </c>
      <c r="C21" s="65">
        <v>2</v>
      </c>
      <c r="D21" s="66">
        <v>1</v>
      </c>
      <c r="E21" s="67">
        <f>IF(C21="","",(VLOOKUP($B$21:$B$30,Supplies_list!$C$8:$G$64,5,FALSE)))</f>
        <v>4.4219999999999997</v>
      </c>
      <c r="F21" s="67">
        <f>IF(C21="","",(C21*D21*E21))</f>
        <v>8.8439999999999994</v>
      </c>
    </row>
    <row r="22" spans="2:6" x14ac:dyDescent="0.25">
      <c r="B22" s="64" t="s">
        <v>798</v>
      </c>
      <c r="C22" s="65">
        <v>3</v>
      </c>
      <c r="D22" s="66">
        <v>1</v>
      </c>
      <c r="E22" s="67">
        <f>IF(C22="","",(VLOOKUP($B$21:$B$30,Supplies_list!$C$8:$G$64,5,FALSE)))</f>
        <v>3.4980000000000002</v>
      </c>
      <c r="F22" s="67">
        <f t="shared" ref="F22:F30" si="2">IF(C22="","",(C22*D22*E22))</f>
        <v>10.494</v>
      </c>
    </row>
    <row r="23" spans="2:6" x14ac:dyDescent="0.25">
      <c r="B23" s="64" t="s">
        <v>148</v>
      </c>
      <c r="C23" s="65">
        <v>2</v>
      </c>
      <c r="D23" s="66">
        <v>1</v>
      </c>
      <c r="E23" s="67">
        <f>IF(C23="","",(VLOOKUP($B$21:$B$30,Supplies_list!$C$8:$G$64,5,FALSE)))</f>
        <v>3.3</v>
      </c>
      <c r="F23" s="67">
        <f t="shared" si="2"/>
        <v>6.6</v>
      </c>
    </row>
    <row r="24" spans="2:6" x14ac:dyDescent="0.25">
      <c r="B24" s="64" t="s">
        <v>512</v>
      </c>
      <c r="C24" s="70">
        <v>1</v>
      </c>
      <c r="D24" s="71">
        <v>0.5</v>
      </c>
      <c r="E24" s="67">
        <f>IF(C24="","",(VLOOKUP($B$21:$B$30,Supplies_list!$C$8:$G$64,5,FALSE)))</f>
        <v>48.583333333333329</v>
      </c>
      <c r="F24" s="67">
        <f t="shared" si="2"/>
        <v>24.291666666666664</v>
      </c>
    </row>
    <row r="25" spans="2:6" x14ac:dyDescent="0.25">
      <c r="B25" s="64" t="s">
        <v>481</v>
      </c>
      <c r="C25" s="65">
        <v>1</v>
      </c>
      <c r="D25" s="66">
        <v>0.5</v>
      </c>
      <c r="E25" s="67">
        <f>IF(C25="","",(VLOOKUP($B$21:$B$30,Supplies_list!$C$8:$G$64,5,FALSE)))</f>
        <v>3.3</v>
      </c>
      <c r="F25" s="67">
        <f t="shared" si="2"/>
        <v>1.65</v>
      </c>
    </row>
    <row r="26" spans="2:6" x14ac:dyDescent="0.25">
      <c r="B26" s="64" t="s">
        <v>514</v>
      </c>
      <c r="C26" s="65">
        <v>1</v>
      </c>
      <c r="D26" s="66">
        <v>1</v>
      </c>
      <c r="E26" s="67">
        <f>IF(C26="","",(VLOOKUP($B$21:$B$30,Supplies_list!$C$8:$G$64,5,FALSE)))</f>
        <v>55</v>
      </c>
      <c r="F26" s="67">
        <f t="shared" si="2"/>
        <v>55</v>
      </c>
    </row>
    <row r="27" spans="2:6" x14ac:dyDescent="0.25">
      <c r="B27" s="64" t="s">
        <v>157</v>
      </c>
      <c r="C27" s="65">
        <v>1</v>
      </c>
      <c r="D27" s="66">
        <v>0.5</v>
      </c>
      <c r="E27" s="67">
        <f>IF(C27="","",(VLOOKUP($B$21:$B$30,Supplies_list!$C$8:$G$64,5,FALSE)))</f>
        <v>60.5</v>
      </c>
      <c r="F27" s="67">
        <f t="shared" si="2"/>
        <v>30.25</v>
      </c>
    </row>
    <row r="28" spans="2:6" x14ac:dyDescent="0.25">
      <c r="B28" s="64" t="s">
        <v>301</v>
      </c>
      <c r="C28" s="65">
        <v>1</v>
      </c>
      <c r="D28" s="66">
        <v>1</v>
      </c>
      <c r="E28" s="67">
        <f>IF(C28="","",(VLOOKUP($B$21:$B$30,Supplies_list!$C$8:$G$64,5,FALSE)))</f>
        <v>4.4000000000000004</v>
      </c>
      <c r="F28" s="67">
        <f t="shared" si="2"/>
        <v>4.4000000000000004</v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141.52966666666666</v>
      </c>
    </row>
    <row r="35" spans="2:5" ht="15.75" x14ac:dyDescent="0.25">
      <c r="B35" s="236" t="s">
        <v>163</v>
      </c>
      <c r="C35" s="236"/>
      <c r="D35" s="236"/>
      <c r="E35" s="236"/>
    </row>
    <row r="36" spans="2:5" x14ac:dyDescent="0.25">
      <c r="B36" s="194" t="s">
        <v>0</v>
      </c>
      <c r="C36" s="194" t="s">
        <v>1</v>
      </c>
      <c r="D36" s="194" t="s">
        <v>159</v>
      </c>
      <c r="E36" s="194" t="s">
        <v>160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94" t="s">
        <v>160</v>
      </c>
    </row>
    <row r="50" spans="2:3" x14ac:dyDescent="0.25">
      <c r="B50" s="72" t="s">
        <v>504</v>
      </c>
      <c r="C50" s="73">
        <f>I16</f>
        <v>47.817777777777778</v>
      </c>
    </row>
    <row r="51" spans="2:3" x14ac:dyDescent="0.25">
      <c r="B51" s="72" t="s">
        <v>147</v>
      </c>
      <c r="C51" s="73">
        <f>F31</f>
        <v>141.52966666666666</v>
      </c>
    </row>
    <row r="52" spans="2:3" x14ac:dyDescent="0.25">
      <c r="B52" s="72" t="s">
        <v>596</v>
      </c>
      <c r="C52" s="73">
        <f>E47</f>
        <v>0</v>
      </c>
    </row>
    <row r="53" spans="2:3" x14ac:dyDescent="0.25">
      <c r="B53" s="186" t="s">
        <v>8</v>
      </c>
      <c r="C53" s="198">
        <f>SUM(C50:C52)</f>
        <v>189.34744444444442</v>
      </c>
    </row>
  </sheetData>
  <sheetProtection sheet="1" objects="1" scenarios="1"/>
  <mergeCells count="9">
    <mergeCell ref="B35:E35"/>
    <mergeCell ref="B19:F19"/>
    <mergeCell ref="G4:H4"/>
    <mergeCell ref="B3:I3"/>
    <mergeCell ref="F4:F5"/>
    <mergeCell ref="B4:B5"/>
    <mergeCell ref="C4:D4"/>
    <mergeCell ref="E4:E5"/>
    <mergeCell ref="I4:I5"/>
  </mergeCells>
  <pageMargins left="0.25" right="0.25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K47"/>
  <sheetViews>
    <sheetView showGridLines="0" workbookViewId="0">
      <selection activeCell="F12" sqref="F12"/>
    </sheetView>
  </sheetViews>
  <sheetFormatPr defaultRowHeight="15" x14ac:dyDescent="0.25"/>
  <cols>
    <col min="1" max="1" width="9.140625" style="19"/>
    <col min="2" max="2" width="79.7109375" style="19" bestFit="1" customWidth="1"/>
    <col min="3" max="3" width="10" style="19" customWidth="1"/>
    <col min="4" max="4" width="9.85546875" style="19" customWidth="1"/>
    <col min="5" max="5" width="11.5703125" style="19" customWidth="1"/>
    <col min="6" max="6" width="9.5703125" style="19" customWidth="1"/>
    <col min="7" max="7" width="8.5703125" style="19" customWidth="1"/>
    <col min="8" max="8" width="11.5703125" style="19" customWidth="1"/>
    <col min="9" max="16384" width="9.140625" style="19"/>
  </cols>
  <sheetData>
    <row r="1" spans="2:11" x14ac:dyDescent="0.25">
      <c r="B1" s="20" t="s">
        <v>251</v>
      </c>
    </row>
    <row r="3" spans="2:11" ht="15.75" x14ac:dyDescent="0.25">
      <c r="B3" s="247" t="s">
        <v>161</v>
      </c>
      <c r="C3" s="247"/>
      <c r="D3" s="247"/>
      <c r="E3" s="247"/>
      <c r="F3" s="247"/>
      <c r="G3" s="247"/>
      <c r="H3" s="247"/>
      <c r="I3" s="247"/>
    </row>
    <row r="4" spans="2:11" ht="15" customHeight="1" x14ac:dyDescent="0.25">
      <c r="B4" s="248" t="s">
        <v>0</v>
      </c>
      <c r="C4" s="250" t="s">
        <v>5</v>
      </c>
      <c r="D4" s="250"/>
      <c r="E4" s="250" t="s">
        <v>6</v>
      </c>
      <c r="F4" s="251" t="s">
        <v>513</v>
      </c>
      <c r="G4" s="253" t="s">
        <v>3</v>
      </c>
      <c r="H4" s="254"/>
      <c r="I4" s="250" t="s">
        <v>9</v>
      </c>
    </row>
    <row r="5" spans="2:11" x14ac:dyDescent="0.25">
      <c r="B5" s="249"/>
      <c r="C5" s="7" t="s">
        <v>4</v>
      </c>
      <c r="D5" s="7" t="s">
        <v>7</v>
      </c>
      <c r="E5" s="250"/>
      <c r="F5" s="252"/>
      <c r="G5" s="7" t="s">
        <v>8</v>
      </c>
      <c r="H5" s="7" t="s">
        <v>2</v>
      </c>
      <c r="I5" s="250"/>
    </row>
    <row r="6" spans="2:11" x14ac:dyDescent="0.25">
      <c r="B6" s="31" t="s">
        <v>421</v>
      </c>
      <c r="C6" s="32">
        <v>1</v>
      </c>
      <c r="D6" s="32">
        <v>1</v>
      </c>
      <c r="E6" s="32">
        <v>1</v>
      </c>
      <c r="F6" s="38">
        <v>1</v>
      </c>
      <c r="G6" s="32">
        <f>C6*D6*E6*F6</f>
        <v>1</v>
      </c>
      <c r="H6" s="33">
        <f>IF(G6=0,"",(VLOOKUP($B$6:$B$15,Drugs_list!$C$9:$K$172,7,FALSE)))</f>
        <v>10.44</v>
      </c>
      <c r="I6" s="33">
        <f>IF(G6=0,"",(G6*H6))</f>
        <v>10.44</v>
      </c>
      <c r="K6" s="19" t="str">
        <f>VLOOKUP($B$6:$B$15,Drugs_list!$C$9:$K$172,9,FALSE)</f>
        <v>1inj</v>
      </c>
    </row>
    <row r="7" spans="2:11" x14ac:dyDescent="0.25">
      <c r="B7" s="31" t="s">
        <v>427</v>
      </c>
      <c r="C7" s="32">
        <v>1</v>
      </c>
      <c r="D7" s="32">
        <v>1</v>
      </c>
      <c r="E7" s="32">
        <v>1</v>
      </c>
      <c r="F7" s="38">
        <v>1</v>
      </c>
      <c r="G7" s="32">
        <f t="shared" ref="G7:G15" si="0">C7*D7*E7*F7</f>
        <v>1</v>
      </c>
      <c r="H7" s="33">
        <f>IF(G7=0,"",(VLOOKUP($B$6:$B$15,Drugs_list!$C$9:$K$172,7,FALSE)))</f>
        <v>1.6497777777777778</v>
      </c>
      <c r="I7" s="33">
        <f t="shared" ref="I7:I15" si="1">IF(G7=0,"",(G7*H7))</f>
        <v>1.6497777777777778</v>
      </c>
      <c r="K7" s="19" t="str">
        <f>VLOOKUP($B$6:$B$15,Drugs_list!$C$9:$K$172,9,FALSE)</f>
        <v>5ml</v>
      </c>
    </row>
    <row r="8" spans="2:11" x14ac:dyDescent="0.25">
      <c r="B8" s="31" t="s">
        <v>395</v>
      </c>
      <c r="C8" s="32">
        <v>1</v>
      </c>
      <c r="D8" s="32">
        <v>1</v>
      </c>
      <c r="E8" s="32">
        <v>2</v>
      </c>
      <c r="F8" s="38">
        <v>1</v>
      </c>
      <c r="G8" s="32">
        <f t="shared" si="0"/>
        <v>2</v>
      </c>
      <c r="H8" s="33">
        <f>IF(G8=0,"",(VLOOKUP($B$6:$B$15,Drugs_list!$C$9:$K$172,7,FALSE)))</f>
        <v>0.92800000000000005</v>
      </c>
      <c r="I8" s="33">
        <f t="shared" si="1"/>
        <v>1.8560000000000001</v>
      </c>
      <c r="K8" s="19" t="str">
        <f>VLOOKUP($B$6:$B$15,Drugs_list!$C$9:$K$172,9,FALSE)</f>
        <v>1ml</v>
      </c>
    </row>
    <row r="9" spans="2:11" x14ac:dyDescent="0.25">
      <c r="B9" s="31" t="s">
        <v>397</v>
      </c>
      <c r="C9" s="32">
        <v>1</v>
      </c>
      <c r="D9" s="32">
        <v>1</v>
      </c>
      <c r="E9" s="32">
        <v>1</v>
      </c>
      <c r="F9" s="38">
        <v>1</v>
      </c>
      <c r="G9" s="32">
        <f t="shared" si="0"/>
        <v>1</v>
      </c>
      <c r="H9" s="33">
        <f>IF(G9=0,"",(VLOOKUP($B$6:$B$15,Drugs_list!$C$9:$K$172,7,FALSE)))</f>
        <v>2.0880000000000001</v>
      </c>
      <c r="I9" s="33">
        <f t="shared" si="1"/>
        <v>2.0880000000000001</v>
      </c>
      <c r="K9" s="19" t="str">
        <f>VLOOKUP($B$6:$B$15,Drugs_list!$C$9:$K$172,9,FALSE)</f>
        <v>1ml</v>
      </c>
    </row>
    <row r="10" spans="2:11" x14ac:dyDescent="0.25">
      <c r="B10" s="31" t="s">
        <v>443</v>
      </c>
      <c r="C10" s="32">
        <v>1</v>
      </c>
      <c r="D10" s="32">
        <v>1</v>
      </c>
      <c r="E10" s="32">
        <v>1</v>
      </c>
      <c r="F10" s="38">
        <v>0.5</v>
      </c>
      <c r="G10" s="32">
        <f t="shared" si="0"/>
        <v>0.5</v>
      </c>
      <c r="H10" s="33">
        <f>IF(G10=0,"",(VLOOKUP($B$6:$B$15,Drugs_list!$C$9:$K$172,7,FALSE)))</f>
        <v>41.76</v>
      </c>
      <c r="I10" s="33">
        <f t="shared" si="1"/>
        <v>20.88</v>
      </c>
      <c r="K10" s="19" t="str">
        <f>VLOOKUP($B$6:$B$15,Drugs_list!$C$9:$K$172,9,FALSE)</f>
        <v>1000ml</v>
      </c>
    </row>
    <row r="11" spans="2:11" x14ac:dyDescent="0.25">
      <c r="B11" s="31" t="s">
        <v>20</v>
      </c>
      <c r="C11" s="32">
        <v>3</v>
      </c>
      <c r="D11" s="32">
        <v>4</v>
      </c>
      <c r="E11" s="32">
        <v>1</v>
      </c>
      <c r="F11" s="38">
        <v>1</v>
      </c>
      <c r="G11" s="32">
        <f t="shared" si="0"/>
        <v>12</v>
      </c>
      <c r="H11" s="33">
        <f>IF(G11=0,"",(VLOOKUP($B$6:$B$15,Drugs_list!$C$9:$K$172,7,FALSE)))</f>
        <v>0.52200000000000002</v>
      </c>
      <c r="I11" s="33">
        <f t="shared" si="1"/>
        <v>6.2640000000000002</v>
      </c>
      <c r="K11" s="19" t="str">
        <f>VLOOKUP($B$6:$B$15,Drugs_list!$C$9:$K$172,9,FALSE)</f>
        <v>1tab</v>
      </c>
    </row>
    <row r="12" spans="2:11" x14ac:dyDescent="0.25">
      <c r="B12" s="31"/>
      <c r="C12" s="32"/>
      <c r="D12" s="32"/>
      <c r="E12" s="32"/>
      <c r="F12" s="38"/>
      <c r="G12" s="32">
        <f t="shared" si="0"/>
        <v>0</v>
      </c>
      <c r="H12" s="33" t="str">
        <f>IF(G12=0,"",(VLOOKUP($B$6:$B$15,Drugs_list!$C$9:$K$172,7,FALSE)))</f>
        <v/>
      </c>
      <c r="I12" s="33" t="str">
        <f t="shared" si="1"/>
        <v/>
      </c>
      <c r="K12" s="19" t="e">
        <f>VLOOKUP($B$6:$B$15,Drugs_list!$C$9:$K$172,9,FALSE)</f>
        <v>#N/A</v>
      </c>
    </row>
    <row r="13" spans="2:11" x14ac:dyDescent="0.25">
      <c r="B13" s="31"/>
      <c r="C13" s="32"/>
      <c r="D13" s="32"/>
      <c r="E13" s="32"/>
      <c r="F13" s="38"/>
      <c r="G13" s="32">
        <f t="shared" si="0"/>
        <v>0</v>
      </c>
      <c r="H13" s="33" t="str">
        <f>IF(G13=0,"",(VLOOKUP($B$6:$B$15,Drugs_list!$C$9:$K$172,7,FALSE)))</f>
        <v/>
      </c>
      <c r="I13" s="33" t="str">
        <f t="shared" si="1"/>
        <v/>
      </c>
      <c r="K13" s="19" t="e">
        <f>VLOOKUP($B$6:$B$15,Drugs_list!$C$9:$K$172,9,FALSE)</f>
        <v>#N/A</v>
      </c>
    </row>
    <row r="14" spans="2:11" x14ac:dyDescent="0.25">
      <c r="B14" s="31"/>
      <c r="C14" s="32"/>
      <c r="D14" s="32"/>
      <c r="E14" s="32"/>
      <c r="F14" s="38"/>
      <c r="G14" s="32">
        <f t="shared" si="0"/>
        <v>0</v>
      </c>
      <c r="H14" s="33" t="str">
        <f>IF(G14=0,"",(VLOOKUP($B$6:$B$15,Drugs_list!$C$9:$K$172,7,FALSE)))</f>
        <v/>
      </c>
      <c r="I14" s="33" t="str">
        <f t="shared" si="1"/>
        <v/>
      </c>
      <c r="K14" s="19" t="e">
        <f>VLOOKUP($B$6:$B$15,Drugs_list!$C$9:$K$172,9,FALSE)</f>
        <v>#N/A</v>
      </c>
    </row>
    <row r="15" spans="2:11" x14ac:dyDescent="0.25">
      <c r="B15" s="31"/>
      <c r="C15" s="32"/>
      <c r="D15" s="32"/>
      <c r="E15" s="32"/>
      <c r="F15" s="38"/>
      <c r="G15" s="32">
        <f t="shared" si="0"/>
        <v>0</v>
      </c>
      <c r="H15" s="33" t="str">
        <f>IF(G15=0,"",(VLOOKUP($B$6:$B$15,Drugs_list!$C$9:$K$172,7,FALSE)))</f>
        <v/>
      </c>
      <c r="I15" s="33" t="str">
        <f t="shared" si="1"/>
        <v/>
      </c>
      <c r="K15" s="19" t="e">
        <f>VLOOKUP($B$6:$B$15,Drugs_list!$C$9:$K$172,9,FALSE)</f>
        <v>#N/A</v>
      </c>
    </row>
    <row r="16" spans="2:11" x14ac:dyDescent="0.25">
      <c r="B16" s="10" t="s">
        <v>8</v>
      </c>
      <c r="C16" s="11"/>
      <c r="D16" s="11"/>
      <c r="E16" s="11"/>
      <c r="F16" s="11"/>
      <c r="G16" s="11"/>
      <c r="H16" s="11"/>
      <c r="I16" s="34">
        <f>SUM(I6:I15)</f>
        <v>43.177777777777784</v>
      </c>
    </row>
    <row r="19" spans="2:6" ht="15.75" x14ac:dyDescent="0.25">
      <c r="B19" s="247" t="s">
        <v>162</v>
      </c>
      <c r="C19" s="247"/>
      <c r="D19" s="247"/>
      <c r="E19" s="247"/>
      <c r="F19" s="247"/>
    </row>
    <row r="20" spans="2:6" ht="19.5" customHeight="1" x14ac:dyDescent="0.25">
      <c r="B20" s="12" t="s">
        <v>0</v>
      </c>
      <c r="C20" s="7" t="s">
        <v>1</v>
      </c>
      <c r="D20" s="7" t="s">
        <v>513</v>
      </c>
      <c r="E20" s="7" t="s">
        <v>159</v>
      </c>
      <c r="F20" s="7" t="s">
        <v>160</v>
      </c>
    </row>
    <row r="21" spans="2:6" x14ac:dyDescent="0.25">
      <c r="B21" s="31" t="s">
        <v>483</v>
      </c>
      <c r="C21" s="32">
        <v>1</v>
      </c>
      <c r="D21" s="38">
        <v>1</v>
      </c>
      <c r="E21" s="32">
        <f>IF(C21="","",(VLOOKUP($B$21:$B$30,Supplies_list!$C$8:$G$64,5,FALSE)))</f>
        <v>4.4219999999999997</v>
      </c>
      <c r="F21" s="32">
        <f>IF(C21="","",(C21*D21*E21))</f>
        <v>4.4219999999999997</v>
      </c>
    </row>
    <row r="22" spans="2:6" x14ac:dyDescent="0.25">
      <c r="B22" s="31" t="s">
        <v>499</v>
      </c>
      <c r="C22" s="32">
        <v>2</v>
      </c>
      <c r="D22" s="38">
        <v>1</v>
      </c>
      <c r="E22" s="32">
        <f>IF(C22="","",(VLOOKUP($B$21:$B$30,Supplies_list!$C$8:$G$64,5,FALSE)))</f>
        <v>4.4000000000000004</v>
      </c>
      <c r="F22" s="32">
        <f t="shared" ref="F22:F30" si="2">IF(C22="","",(C22*D22*E22))</f>
        <v>8.8000000000000007</v>
      </c>
    </row>
    <row r="23" spans="2:6" x14ac:dyDescent="0.25">
      <c r="B23" s="31" t="s">
        <v>148</v>
      </c>
      <c r="C23" s="32">
        <v>2</v>
      </c>
      <c r="D23" s="38">
        <v>1</v>
      </c>
      <c r="E23" s="32">
        <f>IF(C23="","",(VLOOKUP($B$21:$B$30,Supplies_list!$C$8:$G$64,5,FALSE)))</f>
        <v>3.3</v>
      </c>
      <c r="F23" s="32">
        <f t="shared" si="2"/>
        <v>6.6</v>
      </c>
    </row>
    <row r="24" spans="2:6" x14ac:dyDescent="0.25">
      <c r="B24" s="31" t="s">
        <v>512</v>
      </c>
      <c r="C24" s="36">
        <v>1</v>
      </c>
      <c r="D24" s="39">
        <v>0.5</v>
      </c>
      <c r="E24" s="32">
        <f>IF(C24="","",(VLOOKUP($B$21:$B$30,Supplies_list!$C$8:$G$64,5,FALSE)))</f>
        <v>48.583333333333329</v>
      </c>
      <c r="F24" s="32">
        <f t="shared" si="2"/>
        <v>24.291666666666664</v>
      </c>
    </row>
    <row r="25" spans="2:6" x14ac:dyDescent="0.25">
      <c r="B25" s="31" t="s">
        <v>481</v>
      </c>
      <c r="C25" s="32">
        <v>1</v>
      </c>
      <c r="D25" s="38">
        <v>0.5</v>
      </c>
      <c r="E25" s="32">
        <f>IF(C25="","",(VLOOKUP($B$21:$B$30,Supplies_list!$C$8:$G$64,5,FALSE)))</f>
        <v>3.3</v>
      </c>
      <c r="F25" s="32">
        <f t="shared" si="2"/>
        <v>1.65</v>
      </c>
    </row>
    <row r="26" spans="2:6" x14ac:dyDescent="0.25">
      <c r="B26" s="31" t="s">
        <v>514</v>
      </c>
      <c r="C26" s="32">
        <v>1</v>
      </c>
      <c r="D26" s="38">
        <v>1</v>
      </c>
      <c r="E26" s="32">
        <f>IF(C26="","",(VLOOKUP($B$21:$B$30,Supplies_list!$C$8:$G$64,5,FALSE)))</f>
        <v>55</v>
      </c>
      <c r="F26" s="32">
        <f t="shared" si="2"/>
        <v>55</v>
      </c>
    </row>
    <row r="27" spans="2:6" x14ac:dyDescent="0.25">
      <c r="B27" s="31" t="s">
        <v>157</v>
      </c>
      <c r="C27" s="32">
        <v>1</v>
      </c>
      <c r="D27" s="38">
        <v>0.5</v>
      </c>
      <c r="E27" s="32">
        <f>IF(C27="","",(VLOOKUP($B$21:$B$30,Supplies_list!$C$8:$G$64,5,FALSE)))</f>
        <v>60.5</v>
      </c>
      <c r="F27" s="32">
        <f t="shared" si="2"/>
        <v>30.25</v>
      </c>
    </row>
    <row r="28" spans="2:6" x14ac:dyDescent="0.25">
      <c r="B28" s="31"/>
      <c r="C28" s="32"/>
      <c r="D28" s="38"/>
      <c r="E28" s="32" t="str">
        <f>IF(C28="","",(VLOOKUP($B$21:$B$30,Supplies_list!$C$8:$G$64,5,FALSE)))</f>
        <v/>
      </c>
      <c r="F28" s="32" t="str">
        <f t="shared" si="2"/>
        <v/>
      </c>
    </row>
    <row r="29" spans="2:6" x14ac:dyDescent="0.25">
      <c r="B29" s="31"/>
      <c r="C29" s="32"/>
      <c r="D29" s="38"/>
      <c r="E29" s="32" t="str">
        <f>IF(C29="","",(VLOOKUP($B$21:$B$30,Supplies_list!$C$8:$G$64,5,FALSE)))</f>
        <v/>
      </c>
      <c r="F29" s="32" t="str">
        <f t="shared" si="2"/>
        <v/>
      </c>
    </row>
    <row r="30" spans="2:6" x14ac:dyDescent="0.25">
      <c r="B30" s="31"/>
      <c r="C30" s="32"/>
      <c r="D30" s="38"/>
      <c r="E30" s="32" t="str">
        <f>IF(C30="","",(VLOOKUP($B$21:$B$30,Supplies_list!$C$8:$G$64,5,FALSE)))</f>
        <v/>
      </c>
      <c r="F30" s="32" t="str">
        <f t="shared" si="2"/>
        <v/>
      </c>
    </row>
    <row r="31" spans="2:6" x14ac:dyDescent="0.25">
      <c r="B31" s="10" t="s">
        <v>8</v>
      </c>
      <c r="C31" s="11"/>
      <c r="D31" s="11"/>
      <c r="E31" s="11"/>
      <c r="F31" s="34">
        <f>SUM(F21:F30)</f>
        <v>131.01366666666667</v>
      </c>
    </row>
    <row r="35" spans="2:5" ht="15.75" x14ac:dyDescent="0.25">
      <c r="B35" s="247" t="s">
        <v>163</v>
      </c>
      <c r="C35" s="247"/>
      <c r="D35" s="247"/>
      <c r="E35" s="247"/>
    </row>
    <row r="36" spans="2:5" x14ac:dyDescent="0.25">
      <c r="B36" s="7" t="s">
        <v>0</v>
      </c>
      <c r="C36" s="7" t="s">
        <v>1</v>
      </c>
      <c r="D36" s="7" t="s">
        <v>159</v>
      </c>
      <c r="E36" s="7" t="s">
        <v>160</v>
      </c>
    </row>
    <row r="37" spans="2:5" x14ac:dyDescent="0.25">
      <c r="B37" s="31"/>
      <c r="C37" s="32"/>
      <c r="D37" s="32" t="str">
        <f>IF(B37="","",(VLOOKUP($B$37:$B$46,Lab_tests!$H$6:$I$47,2,FALSE)))</f>
        <v/>
      </c>
      <c r="E37" s="32" t="str">
        <f>IF(C37=0,"",(C37*D37))</f>
        <v/>
      </c>
    </row>
    <row r="38" spans="2:5" x14ac:dyDescent="0.25">
      <c r="B38" s="31"/>
      <c r="C38" s="32"/>
      <c r="D38" s="32" t="str">
        <f>IF(B38="","",(VLOOKUP($B$37:$B$46,Lab_tests!$H$6:$I$47,2,FALSE)))</f>
        <v/>
      </c>
      <c r="E38" s="32" t="str">
        <f t="shared" ref="E38:E46" si="3">IF(C38=0,"",(C38*D38))</f>
        <v/>
      </c>
    </row>
    <row r="39" spans="2:5" x14ac:dyDescent="0.25">
      <c r="B39" s="31"/>
      <c r="C39" s="32"/>
      <c r="D39" s="32" t="str">
        <f>IF(B39="","",(VLOOKUP($B$37:$B$46,Lab_tests!$H$6:$I$47,2,FALSE)))</f>
        <v/>
      </c>
      <c r="E39" s="32" t="str">
        <f t="shared" si="3"/>
        <v/>
      </c>
    </row>
    <row r="40" spans="2:5" x14ac:dyDescent="0.25">
      <c r="B40" s="31"/>
      <c r="C40" s="32"/>
      <c r="D40" s="32" t="str">
        <f>IF(B40="","",(VLOOKUP($B$37:$B$46,Lab_tests!$H$6:$I$47,2,FALSE)))</f>
        <v/>
      </c>
      <c r="E40" s="32" t="str">
        <f t="shared" si="3"/>
        <v/>
      </c>
    </row>
    <row r="41" spans="2:5" x14ac:dyDescent="0.25">
      <c r="B41" s="31"/>
      <c r="C41" s="32"/>
      <c r="D41" s="32" t="str">
        <f>IF(B41="","",(VLOOKUP($B$37:$B$46,Lab_tests!$H$6:$I$47,2,FALSE)))</f>
        <v/>
      </c>
      <c r="E41" s="32" t="str">
        <f t="shared" si="3"/>
        <v/>
      </c>
    </row>
    <row r="42" spans="2:5" x14ac:dyDescent="0.25">
      <c r="B42" s="31"/>
      <c r="C42" s="32"/>
      <c r="D42" s="32" t="str">
        <f>IF(B42="","",(VLOOKUP($B$37:$B$46,Lab_tests!$H$6:$I$47,2,FALSE)))</f>
        <v/>
      </c>
      <c r="E42" s="32" t="str">
        <f t="shared" si="3"/>
        <v/>
      </c>
    </row>
    <row r="43" spans="2:5" x14ac:dyDescent="0.25">
      <c r="B43" s="31"/>
      <c r="C43" s="32"/>
      <c r="D43" s="32" t="str">
        <f>IF(B43="","",(VLOOKUP($B$37:$B$46,Lab_tests!$H$6:$I$47,2,FALSE)))</f>
        <v/>
      </c>
      <c r="E43" s="32" t="str">
        <f t="shared" si="3"/>
        <v/>
      </c>
    </row>
    <row r="44" spans="2:5" x14ac:dyDescent="0.25">
      <c r="B44" s="31"/>
      <c r="C44" s="32"/>
      <c r="D44" s="32" t="str">
        <f>IF(B44="","",(VLOOKUP($B$37:$B$46,Lab_tests!$H$6:$I$47,2,FALSE)))</f>
        <v/>
      </c>
      <c r="E44" s="32" t="str">
        <f t="shared" si="3"/>
        <v/>
      </c>
    </row>
    <row r="45" spans="2:5" x14ac:dyDescent="0.25">
      <c r="B45" s="31"/>
      <c r="C45" s="32"/>
      <c r="D45" s="32" t="str">
        <f>IF(B45="","",(VLOOKUP($B$37:$B$46,Lab_tests!$H$6:$I$47,2,FALSE)))</f>
        <v/>
      </c>
      <c r="E45" s="32" t="str">
        <f t="shared" si="3"/>
        <v/>
      </c>
    </row>
    <row r="46" spans="2:5" x14ac:dyDescent="0.25">
      <c r="B46" s="31"/>
      <c r="C46" s="32"/>
      <c r="D46" s="32" t="str">
        <f>IF(B46="","",(VLOOKUP($B$37:$B$46,Lab_tests!$H$6:$I$47,2,FALSE)))</f>
        <v/>
      </c>
      <c r="E46" s="32" t="str">
        <f t="shared" si="3"/>
        <v/>
      </c>
    </row>
    <row r="47" spans="2:5" x14ac:dyDescent="0.25">
      <c r="B47" s="10" t="s">
        <v>8</v>
      </c>
      <c r="C47" s="11"/>
      <c r="D47" s="11"/>
      <c r="E47" s="34">
        <f>SUM(E37:E43)</f>
        <v>0</v>
      </c>
    </row>
  </sheetData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K53"/>
  <sheetViews>
    <sheetView showGridLines="0" zoomScaleNormal="100" workbookViewId="0">
      <selection activeCell="F14" sqref="F14 J14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5703125" style="63" customWidth="1"/>
    <col min="7" max="7" width="8.5703125" style="63" customWidth="1"/>
    <col min="8" max="8" width="11.5703125" style="63" customWidth="1"/>
    <col min="9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35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94" t="s">
        <v>8</v>
      </c>
      <c r="H5" s="194" t="s">
        <v>2</v>
      </c>
      <c r="I5" s="239"/>
    </row>
    <row r="6" spans="2:11" x14ac:dyDescent="0.25">
      <c r="B6" s="64" t="s">
        <v>299</v>
      </c>
      <c r="C6" s="65">
        <v>90</v>
      </c>
      <c r="D6" s="65">
        <v>1</v>
      </c>
      <c r="E6" s="65">
        <v>1</v>
      </c>
      <c r="F6" s="66">
        <v>1</v>
      </c>
      <c r="G6" s="67">
        <f>C6*D6*E6*F6</f>
        <v>90</v>
      </c>
      <c r="H6" s="68">
        <f>IF(G6=0,"",(VLOOKUP($B$6:$B$15,Drugs_list!$C$9:$K$172,7,FALSE)))</f>
        <v>1.8560000000000001</v>
      </c>
      <c r="I6" s="68">
        <f>IF(G6=0,"",(G6*H6))</f>
        <v>167.04000000000002</v>
      </c>
      <c r="K6" s="63" t="str">
        <f>VLOOKUP($B$6:$B$15,Drugs_list!$C$9:$K$172,9,FALSE)</f>
        <v>1capsule</v>
      </c>
    </row>
    <row r="7" spans="2:11" x14ac:dyDescent="0.25">
      <c r="B7" s="64" t="s">
        <v>458</v>
      </c>
      <c r="C7" s="65">
        <v>1</v>
      </c>
      <c r="D7" s="65">
        <v>1</v>
      </c>
      <c r="E7" s="65">
        <v>4</v>
      </c>
      <c r="F7" s="66">
        <v>1</v>
      </c>
      <c r="G7" s="67">
        <f t="shared" ref="G7:G15" si="0">C7*D7*E7*F7</f>
        <v>4</v>
      </c>
      <c r="H7" s="68">
        <f>IF(G7=0,"",(VLOOKUP($B$6:$B$15,Drugs_list!$C$9:$K$172,7,FALSE)))</f>
        <v>1.7747999999999999</v>
      </c>
      <c r="I7" s="68">
        <f t="shared" ref="I7:I15" si="1">IF(G7=0,"",(G7*H7))</f>
        <v>7.0991999999999997</v>
      </c>
      <c r="K7" s="63" t="str">
        <f>VLOOKUP($B$6:$B$15,Drugs_list!$C$9:$K$172,9,FALSE)</f>
        <v>1tab</v>
      </c>
    </row>
    <row r="8" spans="2:11" x14ac:dyDescent="0.25">
      <c r="B8" s="64"/>
      <c r="C8" s="65"/>
      <c r="D8" s="65"/>
      <c r="E8" s="6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6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6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6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187">
        <f>SUM(I6:I15)</f>
        <v>174.13920000000002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94" t="s">
        <v>1</v>
      </c>
      <c r="D20" s="194" t="s">
        <v>513</v>
      </c>
      <c r="E20" s="194" t="s">
        <v>159</v>
      </c>
      <c r="F20" s="194" t="s">
        <v>160</v>
      </c>
    </row>
    <row r="21" spans="2:6" x14ac:dyDescent="0.25">
      <c r="B21" s="64" t="s">
        <v>483</v>
      </c>
      <c r="C21" s="65">
        <v>2</v>
      </c>
      <c r="D21" s="66">
        <v>1</v>
      </c>
      <c r="E21" s="67">
        <f>IF(C21="","",(VLOOKUP($B$21:$B$30,Supplies_list!$C$8:$G$64,5,FALSE)))</f>
        <v>4.4219999999999997</v>
      </c>
      <c r="F21" s="67">
        <f>IF(C21="","",(C21*D21*E21))</f>
        <v>8.8439999999999994</v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8.8439999999999994</v>
      </c>
    </row>
    <row r="35" spans="2:5" ht="15.75" x14ac:dyDescent="0.25">
      <c r="B35" s="236" t="s">
        <v>163</v>
      </c>
      <c r="C35" s="236"/>
      <c r="D35" s="236"/>
      <c r="E35" s="236"/>
    </row>
    <row r="36" spans="2:5" x14ac:dyDescent="0.25">
      <c r="B36" s="194" t="s">
        <v>0</v>
      </c>
      <c r="C36" s="194" t="s">
        <v>1</v>
      </c>
      <c r="D36" s="194" t="s">
        <v>159</v>
      </c>
      <c r="E36" s="194" t="s">
        <v>160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94" t="s">
        <v>160</v>
      </c>
    </row>
    <row r="50" spans="2:3" x14ac:dyDescent="0.25">
      <c r="B50" s="72" t="s">
        <v>504</v>
      </c>
      <c r="C50" s="73">
        <f>I16</f>
        <v>174.13920000000002</v>
      </c>
    </row>
    <row r="51" spans="2:3" x14ac:dyDescent="0.25">
      <c r="B51" s="72" t="s">
        <v>147</v>
      </c>
      <c r="C51" s="73">
        <f>F31</f>
        <v>8.8439999999999994</v>
      </c>
    </row>
    <row r="52" spans="2:3" x14ac:dyDescent="0.25">
      <c r="B52" s="72" t="s">
        <v>596</v>
      </c>
      <c r="C52" s="73">
        <f>E47</f>
        <v>0</v>
      </c>
    </row>
    <row r="53" spans="2:3" x14ac:dyDescent="0.25">
      <c r="B53" s="186" t="s">
        <v>8</v>
      </c>
      <c r="C53" s="198">
        <f>SUM(C50:C52)</f>
        <v>182.98320000000001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K53"/>
  <sheetViews>
    <sheetView showGridLines="0" zoomScaleNormal="100" workbookViewId="0">
      <selection activeCell="V30" sqref="V3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5703125" style="63" customWidth="1"/>
    <col min="7" max="7" width="8.5703125" style="63" customWidth="1"/>
    <col min="8" max="8" width="11.5703125" style="63" customWidth="1"/>
    <col min="9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515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64" t="s">
        <v>450</v>
      </c>
      <c r="C6" s="65">
        <v>1</v>
      </c>
      <c r="D6" s="65">
        <v>1</v>
      </c>
      <c r="E6" s="65">
        <v>1</v>
      </c>
      <c r="F6" s="66">
        <v>1</v>
      </c>
      <c r="G6" s="67">
        <f>C6*D6*E6*F6</f>
        <v>1</v>
      </c>
      <c r="H6" s="68">
        <f>IF(G6=0,"",(VLOOKUP($B$6:$B$15,Drugs_list!$C$9:$K$172,7,FALSE)))</f>
        <v>2.552</v>
      </c>
      <c r="I6" s="68">
        <f>IF(G6=0,"",(G6*H6))</f>
        <v>2.552</v>
      </c>
      <c r="K6" s="63" t="str">
        <f>VLOOKUP($B$6:$B$15,Drugs_list!$C$9:$K$172,9,FALSE)</f>
        <v>1mg</v>
      </c>
    </row>
    <row r="7" spans="2:11" x14ac:dyDescent="0.25">
      <c r="B7" s="64" t="s">
        <v>328</v>
      </c>
      <c r="C7" s="65">
        <v>1</v>
      </c>
      <c r="D7" s="65">
        <v>1</v>
      </c>
      <c r="E7" s="65">
        <v>1</v>
      </c>
      <c r="F7" s="66">
        <v>1</v>
      </c>
      <c r="G7" s="67">
        <f t="shared" ref="G7:G15" si="0">C7*D7*E7*F7</f>
        <v>1</v>
      </c>
      <c r="H7" s="68">
        <f>IF(G7=0,"",(VLOOKUP($B$6:$B$15,Drugs_list!$C$9:$K$172,7,FALSE)))</f>
        <v>12.18</v>
      </c>
      <c r="I7" s="68">
        <f t="shared" ref="I7:I15" si="1">IF(G7=0,"",(G7*H7))</f>
        <v>12.18</v>
      </c>
      <c r="K7" s="63" t="str">
        <f>VLOOKUP($B$6:$B$15,Drugs_list!$C$9:$K$172,9,FALSE)</f>
        <v>1dose</v>
      </c>
    </row>
    <row r="8" spans="2:11" x14ac:dyDescent="0.25">
      <c r="B8" s="64" t="s">
        <v>15</v>
      </c>
      <c r="C8" s="65">
        <v>1</v>
      </c>
      <c r="D8" s="65">
        <v>1</v>
      </c>
      <c r="E8" s="65">
        <v>1</v>
      </c>
      <c r="F8" s="66">
        <v>1</v>
      </c>
      <c r="G8" s="67">
        <f t="shared" si="0"/>
        <v>1</v>
      </c>
      <c r="H8" s="68">
        <f>IF(G8=0,"",(VLOOKUP($B$6:$B$15,Drugs_list!$C$9:$K$172,7,FALSE)))</f>
        <v>16.361800000000002</v>
      </c>
      <c r="I8" s="68">
        <f t="shared" si="1"/>
        <v>16.361800000000002</v>
      </c>
      <c r="K8" s="63" t="str">
        <f>VLOOKUP($B$6:$B$15,Drugs_list!$C$9:$K$172,9,FALSE)</f>
        <v>1dose</v>
      </c>
    </row>
    <row r="9" spans="2:11" x14ac:dyDescent="0.25">
      <c r="B9" s="64" t="s">
        <v>17</v>
      </c>
      <c r="C9" s="65">
        <v>1</v>
      </c>
      <c r="D9" s="65">
        <v>1</v>
      </c>
      <c r="E9" s="65">
        <v>1</v>
      </c>
      <c r="F9" s="66">
        <v>1</v>
      </c>
      <c r="G9" s="67">
        <f t="shared" si="0"/>
        <v>1</v>
      </c>
      <c r="H9" s="68">
        <f>IF(G9=0,"",(VLOOKUP($B$6:$B$15,Drugs_list!$C$9:$K$172,7,FALSE)))</f>
        <v>42.223999999999997</v>
      </c>
      <c r="I9" s="68">
        <f t="shared" si="1"/>
        <v>42.223999999999997</v>
      </c>
      <c r="K9" s="63" t="str">
        <f>VLOOKUP($B$6:$B$15,Drugs_list!$C$9:$K$172,9,FALSE)</f>
        <v>1dose</v>
      </c>
    </row>
    <row r="10" spans="2:11" x14ac:dyDescent="0.25">
      <c r="B10" s="154" t="s">
        <v>799</v>
      </c>
      <c r="C10" s="65">
        <v>1</v>
      </c>
      <c r="D10" s="65">
        <v>1</v>
      </c>
      <c r="E10" s="65">
        <v>1</v>
      </c>
      <c r="F10" s="66">
        <v>1</v>
      </c>
      <c r="G10" s="67">
        <f t="shared" si="0"/>
        <v>1</v>
      </c>
      <c r="H10" s="68">
        <f>IF(G10=0,"",(VLOOKUP($B$6:$B$15,Drugs_list!$C$9:$K$172,7,FALSE)))</f>
        <v>2.3199999999999998</v>
      </c>
      <c r="I10" s="68">
        <f t="shared" si="1"/>
        <v>2.3199999999999998</v>
      </c>
      <c r="K10" s="63" t="str">
        <f>VLOOKUP($B$6:$B$15,Drugs_list!$C$9:$K$172,9,FALSE)</f>
        <v>1 vial</v>
      </c>
    </row>
    <row r="11" spans="2:11" x14ac:dyDescent="0.25">
      <c r="B11" s="64"/>
      <c r="C11" s="65"/>
      <c r="D11" s="65"/>
      <c r="E11" s="6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187">
        <f>SUM(I6:I15)</f>
        <v>75.637799999999999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 t="s">
        <v>798</v>
      </c>
      <c r="C21" s="65">
        <v>3</v>
      </c>
      <c r="D21" s="66">
        <v>1</v>
      </c>
      <c r="E21" s="67">
        <f>IF(C21="","",(VLOOKUP($B$21:$B$30,Supplies_list!$C$8:$G$64,5,FALSE)))</f>
        <v>3.4980000000000002</v>
      </c>
      <c r="F21" s="67">
        <f>IF(C21="","",(C21*D21*E21))</f>
        <v>10.494</v>
      </c>
    </row>
    <row r="22" spans="2:6" x14ac:dyDescent="0.25">
      <c r="B22" s="64" t="s">
        <v>148</v>
      </c>
      <c r="C22" s="65">
        <v>3</v>
      </c>
      <c r="D22" s="66">
        <v>1</v>
      </c>
      <c r="E22" s="67">
        <f>IF(C22="","",(VLOOKUP($B$21:$B$30,Supplies_list!$C$8:$G$64,5,FALSE)))</f>
        <v>3.3</v>
      </c>
      <c r="F22" s="67">
        <f t="shared" ref="F22:F30" si="2">IF(C22="","",(C22*D22*E22))</f>
        <v>9.8999999999999986</v>
      </c>
    </row>
    <row r="23" spans="2:6" x14ac:dyDescent="0.25">
      <c r="B23" s="64" t="s">
        <v>301</v>
      </c>
      <c r="C23" s="65">
        <v>1</v>
      </c>
      <c r="D23" s="66">
        <v>1</v>
      </c>
      <c r="E23" s="67">
        <f>IF(C23="","",(VLOOKUP($B$21:$B$30,Supplies_list!$C$8:$G$64,5,FALSE)))</f>
        <v>4.4000000000000004</v>
      </c>
      <c r="F23" s="67">
        <f t="shared" si="2"/>
        <v>4.4000000000000004</v>
      </c>
    </row>
    <row r="24" spans="2:6" x14ac:dyDescent="0.25">
      <c r="B24" s="64" t="s">
        <v>483</v>
      </c>
      <c r="C24" s="70">
        <v>1</v>
      </c>
      <c r="D24" s="71">
        <v>1</v>
      </c>
      <c r="E24" s="67">
        <f>IF(C24="","",(VLOOKUP($B$21:$B$30,Supplies_list!$C$8:$G$64,5,FALSE)))</f>
        <v>4.4219999999999997</v>
      </c>
      <c r="F24" s="67">
        <f t="shared" si="2"/>
        <v>4.4219999999999997</v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29.215999999999998</v>
      </c>
    </row>
    <row r="35" spans="2:5" ht="15.75" x14ac:dyDescent="0.25">
      <c r="B35" s="236" t="s">
        <v>163</v>
      </c>
      <c r="C35" s="236"/>
      <c r="D35" s="236"/>
      <c r="E35" s="236"/>
    </row>
    <row r="36" spans="2:5" x14ac:dyDescent="0.25">
      <c r="B36" s="184" t="s">
        <v>0</v>
      </c>
      <c r="C36" s="184" t="s">
        <v>1</v>
      </c>
      <c r="D36" s="184" t="s">
        <v>159</v>
      </c>
      <c r="E36" s="184" t="s">
        <v>160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75.637799999999999</v>
      </c>
    </row>
    <row r="51" spans="2:3" x14ac:dyDescent="0.25">
      <c r="B51" s="72" t="s">
        <v>147</v>
      </c>
      <c r="C51" s="73">
        <f>F31</f>
        <v>29.215999999999998</v>
      </c>
    </row>
    <row r="52" spans="2:3" x14ac:dyDescent="0.25">
      <c r="B52" s="72" t="s">
        <v>596</v>
      </c>
      <c r="C52" s="73">
        <f>E47</f>
        <v>0</v>
      </c>
    </row>
    <row r="53" spans="2:3" x14ac:dyDescent="0.25">
      <c r="B53" s="186" t="s">
        <v>8</v>
      </c>
      <c r="C53" s="198">
        <f>SUM(C50:C52)</f>
        <v>104.85379999999999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K53"/>
  <sheetViews>
    <sheetView showGridLines="0" zoomScaleNormal="100" workbookViewId="0">
      <selection activeCell="F14" sqref="F14 J14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5703125" style="63" customWidth="1"/>
    <col min="7" max="7" width="8.5703125" style="63" customWidth="1"/>
    <col min="8" max="8" width="11.5703125" style="63" customWidth="1"/>
    <col min="9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516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64" t="s">
        <v>319</v>
      </c>
      <c r="C6" s="65">
        <v>5</v>
      </c>
      <c r="D6" s="65">
        <v>3</v>
      </c>
      <c r="E6" s="65">
        <v>2</v>
      </c>
      <c r="F6" s="66">
        <v>0.4</v>
      </c>
      <c r="G6" s="67">
        <f>C6*D6*E6*F6</f>
        <v>12</v>
      </c>
      <c r="H6" s="68">
        <f>IF(G6=0,"",(VLOOKUP($B$6:$B$15,Drugs_list!$C$9:$K$172,7,FALSE)))</f>
        <v>2.9</v>
      </c>
      <c r="I6" s="68">
        <f>IF(G6=0,"",(G6*H6))</f>
        <v>34.799999999999997</v>
      </c>
      <c r="K6" s="63" t="str">
        <f>VLOOKUP($B$6:$B$15,Drugs_list!$C$9:$K$172,9,FALSE)</f>
        <v>5ml</v>
      </c>
    </row>
    <row r="7" spans="2:11" x14ac:dyDescent="0.25">
      <c r="B7" s="64" t="s">
        <v>318</v>
      </c>
      <c r="C7" s="65">
        <v>5</v>
      </c>
      <c r="D7" s="65">
        <v>2</v>
      </c>
      <c r="E7" s="65">
        <v>1</v>
      </c>
      <c r="F7" s="66">
        <v>0.6</v>
      </c>
      <c r="G7" s="67">
        <f t="shared" ref="G7:G15" si="0">C7*D7*E7*F7</f>
        <v>6</v>
      </c>
      <c r="H7" s="68">
        <f>IF(G7=0,"",(VLOOKUP($B$6:$B$15,Drugs_list!$C$9:$K$172,7,FALSE)))</f>
        <v>2.9</v>
      </c>
      <c r="I7" s="68">
        <f t="shared" ref="I7:I15" si="1">IF(G7=0,"",(G7*H7))</f>
        <v>17.399999999999999</v>
      </c>
      <c r="K7" s="63" t="str">
        <f>VLOOKUP($B$6:$B$15,Drugs_list!$C$9:$K$172,9,FALSE)</f>
        <v>1tab</v>
      </c>
    </row>
    <row r="8" spans="2:11" x14ac:dyDescent="0.25">
      <c r="B8" s="64"/>
      <c r="C8" s="65"/>
      <c r="D8" s="65"/>
      <c r="E8" s="6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6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6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6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187">
        <f>SUM(I6:I15)</f>
        <v>52.199999999999996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 t="s">
        <v>301</v>
      </c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6" t="s">
        <v>163</v>
      </c>
      <c r="C35" s="236"/>
      <c r="D35" s="236"/>
      <c r="E35" s="236"/>
    </row>
    <row r="36" spans="2:5" x14ac:dyDescent="0.25">
      <c r="B36" s="184" t="s">
        <v>0</v>
      </c>
      <c r="C36" s="184" t="s">
        <v>1</v>
      </c>
      <c r="D36" s="184" t="s">
        <v>159</v>
      </c>
      <c r="E36" s="184" t="s">
        <v>160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52.199999999999996</v>
      </c>
    </row>
    <row r="51" spans="2:3" x14ac:dyDescent="0.25">
      <c r="B51" s="72" t="s">
        <v>147</v>
      </c>
      <c r="C51" s="73">
        <f>F31</f>
        <v>0</v>
      </c>
    </row>
    <row r="52" spans="2:3" x14ac:dyDescent="0.25">
      <c r="B52" s="72" t="s">
        <v>596</v>
      </c>
      <c r="C52" s="73">
        <f>E47</f>
        <v>0</v>
      </c>
    </row>
    <row r="53" spans="2:3" x14ac:dyDescent="0.25">
      <c r="B53" s="186" t="s">
        <v>8</v>
      </c>
      <c r="C53" s="198">
        <f>SUM(C50:C52)</f>
        <v>52.199999999999996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scale="64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K53"/>
  <sheetViews>
    <sheetView showGridLines="0" zoomScaleNormal="100" workbookViewId="0">
      <selection activeCell="F14" sqref="F14 J14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5703125" style="63" customWidth="1"/>
    <col min="7" max="7" width="8.5703125" style="63" customWidth="1"/>
    <col min="8" max="8" width="11.5703125" style="63" customWidth="1"/>
    <col min="9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517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64" t="s">
        <v>440</v>
      </c>
      <c r="C6" s="65">
        <v>5</v>
      </c>
      <c r="D6" s="65">
        <v>3</v>
      </c>
      <c r="E6" s="76">
        <v>0.5</v>
      </c>
      <c r="F6" s="66">
        <v>1</v>
      </c>
      <c r="G6" s="67">
        <f>C6*D6*E6*F6</f>
        <v>7.5</v>
      </c>
      <c r="H6" s="68">
        <f>IF(G6=0,"",(VLOOKUP($B$6:$B$15,Drugs_list!$C$9:$K$172,7,FALSE)))</f>
        <v>0.40599999999999997</v>
      </c>
      <c r="I6" s="68">
        <f>IF(G6=0,"",(G6*H6))</f>
        <v>3.0449999999999999</v>
      </c>
      <c r="K6" s="63" t="str">
        <f>VLOOKUP($B$6:$B$15,Drugs_list!$C$9:$K$172,9,FALSE)</f>
        <v>1tab</v>
      </c>
    </row>
    <row r="7" spans="2:11" x14ac:dyDescent="0.25">
      <c r="B7" s="64"/>
      <c r="C7" s="65"/>
      <c r="D7" s="65"/>
      <c r="E7" s="65"/>
      <c r="F7" s="66"/>
      <c r="G7" s="67">
        <f t="shared" ref="G7:G15" si="0">C7*D7*E7*F7</f>
        <v>0</v>
      </c>
      <c r="H7" s="68" t="str">
        <f>IF(G7=0,"",(VLOOKUP($B$6:$B$15,Drugs_list!$C$9:$K$172,7,FALSE)))</f>
        <v/>
      </c>
      <c r="I7" s="68" t="str">
        <f t="shared" ref="I7:I15" si="1">IF(G7=0,"",(G7*H7))</f>
        <v/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6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6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6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6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187">
        <f>SUM(I6:I15)</f>
        <v>3.0449999999999999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 t="s">
        <v>301</v>
      </c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6" t="s">
        <v>163</v>
      </c>
      <c r="C35" s="236"/>
      <c r="D35" s="236"/>
      <c r="E35" s="236"/>
    </row>
    <row r="36" spans="2:5" x14ac:dyDescent="0.25">
      <c r="B36" s="184" t="s">
        <v>0</v>
      </c>
      <c r="C36" s="184" t="s">
        <v>1</v>
      </c>
      <c r="D36" s="184" t="s">
        <v>159</v>
      </c>
      <c r="E36" s="184" t="s">
        <v>160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3.0449999999999999</v>
      </c>
    </row>
    <row r="51" spans="2:3" x14ac:dyDescent="0.25">
      <c r="B51" s="72" t="s">
        <v>147</v>
      </c>
      <c r="C51" s="73">
        <f>F31</f>
        <v>0</v>
      </c>
    </row>
    <row r="52" spans="2:3" x14ac:dyDescent="0.25">
      <c r="B52" s="72" t="s">
        <v>596</v>
      </c>
      <c r="C52" s="73">
        <f>E47</f>
        <v>0</v>
      </c>
    </row>
    <row r="53" spans="2:3" x14ac:dyDescent="0.25">
      <c r="B53" s="186" t="s">
        <v>8</v>
      </c>
      <c r="C53" s="198">
        <f>SUM(C50:C52)</f>
        <v>3.0449999999999999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M53"/>
  <sheetViews>
    <sheetView showGridLines="0" zoomScaleNormal="100" workbookViewId="0">
      <selection activeCell="F14" sqref="F14 J14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5703125" style="63" customWidth="1"/>
    <col min="7" max="7" width="8.5703125" style="63" customWidth="1"/>
    <col min="8" max="8" width="11.5703125" style="63" customWidth="1"/>
    <col min="9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518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64" t="s">
        <v>319</v>
      </c>
      <c r="C6" s="65">
        <v>5</v>
      </c>
      <c r="D6" s="65">
        <v>3</v>
      </c>
      <c r="E6" s="76">
        <v>2</v>
      </c>
      <c r="F6" s="66">
        <v>0.4</v>
      </c>
      <c r="G6" s="67">
        <f>C6*D6*E6*F6</f>
        <v>12</v>
      </c>
      <c r="H6" s="68">
        <f>IF(G6=0,"",(VLOOKUP($B$6:$B$15,Drugs_list!$C$9:$K$172,7,FALSE)))</f>
        <v>2.9</v>
      </c>
      <c r="I6" s="68">
        <f>IF(G6=0,"",(G6*H6))</f>
        <v>34.799999999999997</v>
      </c>
      <c r="K6" s="63" t="str">
        <f>VLOOKUP($B$6:$B$15,Drugs_list!$C$9:$K$172,9,FALSE)</f>
        <v>5ml</v>
      </c>
    </row>
    <row r="7" spans="2:11" x14ac:dyDescent="0.25">
      <c r="B7" s="64" t="s">
        <v>318</v>
      </c>
      <c r="C7" s="65">
        <v>5</v>
      </c>
      <c r="D7" s="65">
        <v>2</v>
      </c>
      <c r="E7" s="76">
        <v>1</v>
      </c>
      <c r="F7" s="66">
        <v>0.6</v>
      </c>
      <c r="G7" s="67">
        <f t="shared" ref="G7:G15" si="0">C7*D7*E7*F7</f>
        <v>6</v>
      </c>
      <c r="H7" s="68">
        <f>IF(G7=0,"",(VLOOKUP($B$6:$B$15,Drugs_list!$C$9:$K$172,7,FALSE)))</f>
        <v>2.9</v>
      </c>
      <c r="I7" s="68">
        <f t="shared" ref="I7:I15" si="1">IF(G7=0,"",(G7*H7))</f>
        <v>17.399999999999999</v>
      </c>
      <c r="K7" s="63" t="str">
        <f>VLOOKUP($B$6:$B$15,Drugs_list!$C$9:$K$172,9,FALSE)</f>
        <v>1tab</v>
      </c>
    </row>
    <row r="8" spans="2:11" x14ac:dyDescent="0.25">
      <c r="B8" s="64" t="s">
        <v>20</v>
      </c>
      <c r="C8" s="65">
        <v>5</v>
      </c>
      <c r="D8" s="65">
        <v>2</v>
      </c>
      <c r="E8" s="76">
        <v>0.5</v>
      </c>
      <c r="F8" s="66">
        <v>1</v>
      </c>
      <c r="G8" s="67">
        <f t="shared" si="0"/>
        <v>5</v>
      </c>
      <c r="H8" s="68">
        <f>IF(G8=0,"",(VLOOKUP($B$6:$B$15,Drugs_list!$C$9:$K$172,7,FALSE)))</f>
        <v>0.52200000000000002</v>
      </c>
      <c r="I8" s="68">
        <f t="shared" si="1"/>
        <v>2.6100000000000003</v>
      </c>
      <c r="K8" s="63" t="str">
        <f>VLOOKUP($B$6:$B$15,Drugs_list!$C$9:$K$172,9,FALSE)</f>
        <v>1tab</v>
      </c>
    </row>
    <row r="9" spans="2:11" x14ac:dyDescent="0.25">
      <c r="B9" s="64"/>
      <c r="C9" s="65"/>
      <c r="D9" s="65"/>
      <c r="E9" s="6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6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6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187">
        <f>SUM(I6:I15)</f>
        <v>54.809999999999995</v>
      </c>
    </row>
    <row r="18" spans="2:13" x14ac:dyDescent="0.25">
      <c r="M18" s="84">
        <f>I16</f>
        <v>54.809999999999995</v>
      </c>
    </row>
    <row r="19" spans="2:13" ht="15.75" x14ac:dyDescent="0.25">
      <c r="B19" s="236" t="s">
        <v>162</v>
      </c>
      <c r="C19" s="236"/>
      <c r="D19" s="236"/>
      <c r="E19" s="236"/>
      <c r="F19" s="236"/>
    </row>
    <row r="20" spans="2:13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13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13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13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13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13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13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13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13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13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13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13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6" t="s">
        <v>163</v>
      </c>
      <c r="C35" s="236"/>
      <c r="D35" s="236"/>
      <c r="E35" s="236"/>
    </row>
    <row r="36" spans="2:5" x14ac:dyDescent="0.25">
      <c r="B36" s="184" t="s">
        <v>0</v>
      </c>
      <c r="C36" s="184" t="s">
        <v>1</v>
      </c>
      <c r="D36" s="184" t="s">
        <v>159</v>
      </c>
      <c r="E36" s="184" t="s">
        <v>160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54.809999999999995</v>
      </c>
    </row>
    <row r="51" spans="2:3" x14ac:dyDescent="0.25">
      <c r="B51" s="72" t="s">
        <v>147</v>
      </c>
      <c r="C51" s="73">
        <f>F31</f>
        <v>0</v>
      </c>
    </row>
    <row r="52" spans="2:3" x14ac:dyDescent="0.25">
      <c r="B52" s="72" t="s">
        <v>596</v>
      </c>
      <c r="C52" s="73">
        <f>E47</f>
        <v>0</v>
      </c>
    </row>
    <row r="53" spans="2:3" x14ac:dyDescent="0.25">
      <c r="B53" s="186" t="s">
        <v>8</v>
      </c>
      <c r="C53" s="198">
        <f>SUM(C50:C52)</f>
        <v>54.809999999999995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K53"/>
  <sheetViews>
    <sheetView showGridLines="0" zoomScaleNormal="100" workbookViewId="0">
      <selection activeCell="F14" sqref="F14 J14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5703125" style="63" customWidth="1"/>
    <col min="7" max="7" width="8.5703125" style="63" customWidth="1"/>
    <col min="8" max="8" width="11.5703125" style="63" customWidth="1"/>
    <col min="9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519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ht="30" x14ac:dyDescent="0.25">
      <c r="B6" s="74" t="s">
        <v>420</v>
      </c>
      <c r="C6" s="79">
        <v>2</v>
      </c>
      <c r="D6" s="79">
        <v>2</v>
      </c>
      <c r="E6" s="80">
        <v>1</v>
      </c>
      <c r="F6" s="81">
        <v>1</v>
      </c>
      <c r="G6" s="82">
        <f>C6*D6*E6*F6</f>
        <v>4</v>
      </c>
      <c r="H6" s="83">
        <f>IF(G6=0,"",(VLOOKUP($B$6:$B$15,Drugs_list!$C$9:$K$172,7,FALSE)))</f>
        <v>4.2919999999999998</v>
      </c>
      <c r="I6" s="83">
        <f>IF(G6=0,"",(G6*H6))</f>
        <v>17.167999999999999</v>
      </c>
      <c r="K6" s="63" t="str">
        <f>VLOOKUP($B$6:$B$15,Drugs_list!$C$9:$K$172,9,FALSE)</f>
        <v>1pack</v>
      </c>
    </row>
    <row r="7" spans="2:11" x14ac:dyDescent="0.25">
      <c r="B7" s="64" t="s">
        <v>460</v>
      </c>
      <c r="C7" s="65">
        <v>8</v>
      </c>
      <c r="D7" s="65">
        <v>1</v>
      </c>
      <c r="E7" s="76">
        <v>1</v>
      </c>
      <c r="F7" s="66">
        <v>1</v>
      </c>
      <c r="G7" s="67">
        <f t="shared" ref="G7:G15" si="0">C7*D7*E7*F7</f>
        <v>8</v>
      </c>
      <c r="H7" s="68">
        <f>IF(G7=0,"",(VLOOKUP($B$6:$B$15,Drugs_list!$C$9:$K$172,7,FALSE)))</f>
        <v>2.4806600000000003</v>
      </c>
      <c r="I7" s="68">
        <f t="shared" ref="I7:I15" si="1">IF(G7=0,"",(G7*H7))</f>
        <v>19.845280000000002</v>
      </c>
      <c r="K7" s="63" t="str">
        <f>VLOOKUP($B$6:$B$15,Drugs_list!$C$9:$K$172,9,FALSE)</f>
        <v>1tab</v>
      </c>
    </row>
    <row r="8" spans="2:11" x14ac:dyDescent="0.25">
      <c r="B8" s="64"/>
      <c r="C8" s="65"/>
      <c r="D8" s="65"/>
      <c r="E8" s="76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6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6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6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187">
        <f>SUM(I6:I15)</f>
        <v>37.013280000000002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6" t="s">
        <v>163</v>
      </c>
      <c r="C35" s="236"/>
      <c r="D35" s="236"/>
      <c r="E35" s="236"/>
    </row>
    <row r="36" spans="2:5" x14ac:dyDescent="0.25">
      <c r="B36" s="184" t="s">
        <v>0</v>
      </c>
      <c r="C36" s="184" t="s">
        <v>1</v>
      </c>
      <c r="D36" s="184" t="s">
        <v>159</v>
      </c>
      <c r="E36" s="184" t="s">
        <v>160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37.013280000000002</v>
      </c>
    </row>
    <row r="51" spans="2:3" x14ac:dyDescent="0.25">
      <c r="B51" s="72" t="s">
        <v>147</v>
      </c>
      <c r="C51" s="73">
        <f>F31</f>
        <v>0</v>
      </c>
    </row>
    <row r="52" spans="2:3" x14ac:dyDescent="0.25">
      <c r="B52" s="72" t="s">
        <v>596</v>
      </c>
      <c r="C52" s="73">
        <f>E47</f>
        <v>0</v>
      </c>
    </row>
    <row r="53" spans="2:3" x14ac:dyDescent="0.25">
      <c r="B53" s="186" t="s">
        <v>8</v>
      </c>
      <c r="C53" s="198">
        <f>SUM(C50:C52)</f>
        <v>37.013280000000002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1:K53"/>
  <sheetViews>
    <sheetView showGridLines="0" zoomScaleNormal="100" workbookViewId="0">
      <selection activeCell="F14" sqref="F14 J14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5703125" style="63" customWidth="1"/>
    <col min="7" max="7" width="8.5703125" style="63" customWidth="1"/>
    <col min="8" max="8" width="11.5703125" style="63" customWidth="1"/>
    <col min="9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520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ht="30" x14ac:dyDescent="0.25">
      <c r="B6" s="74" t="s">
        <v>420</v>
      </c>
      <c r="C6" s="65">
        <v>3</v>
      </c>
      <c r="D6" s="65">
        <v>3</v>
      </c>
      <c r="E6" s="76">
        <v>1</v>
      </c>
      <c r="F6" s="66">
        <v>1</v>
      </c>
      <c r="G6" s="67">
        <f>C6*D6*E6*F6</f>
        <v>9</v>
      </c>
      <c r="H6" s="68">
        <f>IF(G6=0,"",(VLOOKUP($B$6:$B$15,Drugs_list!$C$9:$K$172,7,FALSE)))</f>
        <v>4.2919999999999998</v>
      </c>
      <c r="I6" s="68">
        <f>IF(G6=0,"",(G6*H6))</f>
        <v>38.628</v>
      </c>
      <c r="K6" s="63" t="str">
        <f>VLOOKUP($B$6:$B$15,Drugs_list!$C$9:$K$172,9,FALSE)</f>
        <v>1pack</v>
      </c>
    </row>
    <row r="7" spans="2:11" x14ac:dyDescent="0.25">
      <c r="B7" s="64" t="s">
        <v>460</v>
      </c>
      <c r="C7" s="65">
        <v>14</v>
      </c>
      <c r="D7" s="65">
        <v>1</v>
      </c>
      <c r="E7" s="76">
        <v>1</v>
      </c>
      <c r="F7" s="66">
        <v>1</v>
      </c>
      <c r="G7" s="67">
        <f t="shared" ref="G7:G15" si="0">C7*D7*E7*F7</f>
        <v>14</v>
      </c>
      <c r="H7" s="68">
        <f>IF(G7=0,"",(VLOOKUP($B$6:$B$15,Drugs_list!$C$9:$K$172,7,FALSE)))</f>
        <v>2.4806600000000003</v>
      </c>
      <c r="I7" s="68">
        <f t="shared" ref="I7:I15" si="1">IF(G7=0,"",(G7*H7))</f>
        <v>34.729240000000004</v>
      </c>
      <c r="K7" s="63" t="str">
        <f>VLOOKUP($B$6:$B$15,Drugs_list!$C$9:$K$172,9,FALSE)</f>
        <v>1tab</v>
      </c>
    </row>
    <row r="8" spans="2:11" x14ac:dyDescent="0.25">
      <c r="B8" s="64"/>
      <c r="C8" s="65"/>
      <c r="D8" s="65"/>
      <c r="E8" s="76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6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6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6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187">
        <f>SUM(I6:I15)</f>
        <v>73.357240000000004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6" t="s">
        <v>163</v>
      </c>
      <c r="C35" s="236"/>
      <c r="D35" s="236"/>
      <c r="E35" s="236"/>
    </row>
    <row r="36" spans="2:5" x14ac:dyDescent="0.25">
      <c r="B36" s="184" t="s">
        <v>0</v>
      </c>
      <c r="C36" s="184" t="s">
        <v>1</v>
      </c>
      <c r="D36" s="184" t="s">
        <v>159</v>
      </c>
      <c r="E36" s="184" t="s">
        <v>160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73.357240000000004</v>
      </c>
    </row>
    <row r="51" spans="2:3" x14ac:dyDescent="0.25">
      <c r="B51" s="72" t="s">
        <v>147</v>
      </c>
      <c r="C51" s="73">
        <f>F31</f>
        <v>0</v>
      </c>
    </row>
    <row r="52" spans="2:3" x14ac:dyDescent="0.25">
      <c r="B52" s="72" t="s">
        <v>596</v>
      </c>
      <c r="C52" s="73">
        <f>E47</f>
        <v>0</v>
      </c>
    </row>
    <row r="53" spans="2:3" x14ac:dyDescent="0.25">
      <c r="B53" s="186" t="s">
        <v>8</v>
      </c>
      <c r="C53" s="198">
        <f>SUM(C50:C52)</f>
        <v>73.357240000000004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K53"/>
  <sheetViews>
    <sheetView showGridLines="0" zoomScaleNormal="100" workbookViewId="0">
      <selection activeCell="F14" sqref="F14 J14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5703125" style="63" customWidth="1"/>
    <col min="7" max="7" width="8.5703125" style="63" customWidth="1"/>
    <col min="8" max="8" width="11.5703125" style="63" customWidth="1"/>
    <col min="9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521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74" t="s">
        <v>344</v>
      </c>
      <c r="C6" s="65">
        <v>3</v>
      </c>
      <c r="D6" s="65">
        <v>2</v>
      </c>
      <c r="E6" s="76">
        <v>1</v>
      </c>
      <c r="F6" s="66">
        <v>1</v>
      </c>
      <c r="G6" s="67">
        <f>C6*D6*E6*F6</f>
        <v>6</v>
      </c>
      <c r="H6" s="68">
        <f>IF(G6=0,"",(VLOOKUP($B$6:$B$15,Drugs_list!$C$9:$K$172,7,FALSE)))</f>
        <v>3.48</v>
      </c>
      <c r="I6" s="68">
        <f>IF(G6=0,"",(G6*H6))</f>
        <v>20.88</v>
      </c>
      <c r="K6" s="63" t="str">
        <f>VLOOKUP($B$6:$B$15,Drugs_list!$C$9:$K$172,9,FALSE)</f>
        <v>1tab</v>
      </c>
    </row>
    <row r="7" spans="2:11" x14ac:dyDescent="0.25">
      <c r="B7" s="64"/>
      <c r="C7" s="65"/>
      <c r="D7" s="65"/>
      <c r="E7" s="76"/>
      <c r="F7" s="66"/>
      <c r="G7" s="67">
        <f t="shared" ref="G7:G15" si="0">C7*D7*E7*F7</f>
        <v>0</v>
      </c>
      <c r="H7" s="68" t="str">
        <f>IF(G7=0,"",(VLOOKUP($B$6:$B$15,Drugs_list!$C$9:$K$172,7,FALSE)))</f>
        <v/>
      </c>
      <c r="I7" s="68" t="str">
        <f t="shared" ref="I7:I15" si="1">IF(G7=0,"",(G7*H7))</f>
        <v/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76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6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6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6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187">
        <f>SUM(I6:I15)</f>
        <v>20.88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6" t="s">
        <v>163</v>
      </c>
      <c r="C35" s="236"/>
      <c r="D35" s="236"/>
      <c r="E35" s="236"/>
    </row>
    <row r="36" spans="2:5" x14ac:dyDescent="0.25">
      <c r="B36" s="184" t="s">
        <v>0</v>
      </c>
      <c r="C36" s="184" t="s">
        <v>1</v>
      </c>
      <c r="D36" s="184" t="s">
        <v>159</v>
      </c>
      <c r="E36" s="184" t="s">
        <v>160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20.88</v>
      </c>
    </row>
    <row r="51" spans="2:3" x14ac:dyDescent="0.25">
      <c r="B51" s="72" t="s">
        <v>147</v>
      </c>
      <c r="C51" s="73">
        <f>F31</f>
        <v>0</v>
      </c>
    </row>
    <row r="52" spans="2:3" x14ac:dyDescent="0.25">
      <c r="B52" s="72" t="s">
        <v>596</v>
      </c>
      <c r="C52" s="73">
        <f>E47</f>
        <v>0</v>
      </c>
    </row>
    <row r="53" spans="2:3" x14ac:dyDescent="0.25">
      <c r="B53" s="186" t="s">
        <v>8</v>
      </c>
      <c r="C53" s="198">
        <f>SUM(C50:C52)</f>
        <v>20.88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B62"/>
  <sheetViews>
    <sheetView showGridLines="0" zoomScaleNormal="100" workbookViewId="0">
      <selection activeCell="E3" sqref="E3"/>
    </sheetView>
  </sheetViews>
  <sheetFormatPr defaultRowHeight="18.75" x14ac:dyDescent="0.3"/>
  <cols>
    <col min="1" max="1" width="9.140625" style="43"/>
    <col min="2" max="2" width="35.7109375" style="43" customWidth="1"/>
    <col min="3" max="3" width="19.140625" style="43" bestFit="1" customWidth="1"/>
    <col min="4" max="6" width="16" style="43" bestFit="1" customWidth="1"/>
    <col min="7" max="7" width="9.140625" style="43"/>
    <col min="8" max="8" width="11.28515625" style="43" bestFit="1" customWidth="1"/>
    <col min="9" max="9" width="12.140625" style="43" bestFit="1" customWidth="1"/>
    <col min="10" max="13" width="12.28515625" style="43" bestFit="1" customWidth="1"/>
    <col min="14" max="14" width="9.140625" style="43"/>
    <col min="15" max="17" width="0" style="43" hidden="1" customWidth="1"/>
    <col min="18" max="18" width="9.140625" style="43" customWidth="1"/>
    <col min="19" max="19" width="12" style="43" customWidth="1"/>
    <col min="20" max="16384" width="9.140625" style="43"/>
  </cols>
  <sheetData>
    <row r="2" spans="2:28" x14ac:dyDescent="0.3">
      <c r="B2" s="217" t="s">
        <v>949</v>
      </c>
      <c r="C2" s="218"/>
      <c r="D2" s="218"/>
      <c r="E2" s="218"/>
      <c r="F2" s="218"/>
    </row>
    <row r="3" spans="2:28" x14ac:dyDescent="0.3">
      <c r="B3" s="150" t="s">
        <v>647</v>
      </c>
      <c r="C3" s="151">
        <f>pop_1</f>
        <v>10000</v>
      </c>
      <c r="D3" s="151">
        <f>pop_2</f>
        <v>15000</v>
      </c>
      <c r="E3" s="151">
        <f>pop_3</f>
        <v>20000</v>
      </c>
      <c r="F3" s="151">
        <f>Pop_4</f>
        <v>25000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2:28" s="63" customFormat="1" x14ac:dyDescent="0.3">
      <c r="N4" s="111"/>
      <c r="O4" s="111"/>
      <c r="P4" s="111"/>
      <c r="Q4" s="111"/>
      <c r="R4" s="141">
        <v>0.05</v>
      </c>
      <c r="S4" s="142">
        <f>-0.5%</f>
        <v>-5.0000000000000001E-3</v>
      </c>
      <c r="T4" s="145">
        <v>0.05</v>
      </c>
      <c r="U4" s="111"/>
      <c r="V4" s="111"/>
      <c r="W4" s="111"/>
      <c r="X4" s="111"/>
      <c r="Y4" s="111"/>
      <c r="Z4" s="111"/>
      <c r="AA4" s="111"/>
      <c r="AB4" s="111"/>
    </row>
    <row r="5" spans="2:28" x14ac:dyDescent="0.3">
      <c r="B5" s="150" t="s">
        <v>638</v>
      </c>
      <c r="C5" s="152" t="s">
        <v>629</v>
      </c>
      <c r="D5" s="152" t="s">
        <v>629</v>
      </c>
      <c r="E5" s="152" t="s">
        <v>629</v>
      </c>
      <c r="F5" s="152" t="s">
        <v>629</v>
      </c>
      <c r="N5" s="45"/>
      <c r="O5" s="45"/>
      <c r="P5" s="45"/>
      <c r="Q5" s="45"/>
      <c r="R5" s="141">
        <v>0.1</v>
      </c>
      <c r="S5" s="143">
        <f>S4-0.25%</f>
        <v>-7.4999999999999997E-3</v>
      </c>
      <c r="T5" s="45">
        <v>10</v>
      </c>
      <c r="U5" s="45"/>
      <c r="V5" s="45"/>
      <c r="W5" s="45"/>
      <c r="X5" s="45"/>
      <c r="Y5" s="45"/>
      <c r="Z5" s="45"/>
      <c r="AA5" s="45"/>
      <c r="AB5" s="45"/>
    </row>
    <row r="6" spans="2:28" x14ac:dyDescent="0.3">
      <c r="B6" s="47" t="s">
        <v>595</v>
      </c>
      <c r="C6" s="50">
        <f>Staff_cost!$F$30+Staff_cost!$F$31</f>
        <v>2605497.2999999998</v>
      </c>
      <c r="D6" s="50">
        <f>Staff_cost!$F$30+Staff_cost!$F$31</f>
        <v>2605497.2999999998</v>
      </c>
      <c r="E6" s="50">
        <f>Staff_cost!$F$30+Staff_cost!$F$31</f>
        <v>2605497.2999999998</v>
      </c>
      <c r="F6" s="50">
        <f>Staff_cost!$F$30+Staff_cost!$F$31</f>
        <v>2605497.2999999998</v>
      </c>
      <c r="N6" s="45"/>
      <c r="O6" s="45"/>
      <c r="P6" s="45"/>
      <c r="Q6" s="45"/>
      <c r="R6" s="141">
        <v>0.15</v>
      </c>
      <c r="S6" s="143">
        <f t="shared" ref="S6:S9" si="0">S5-0.25%</f>
        <v>-0.01</v>
      </c>
      <c r="T6" s="45"/>
      <c r="U6" s="45"/>
      <c r="V6" s="45"/>
      <c r="W6" s="45"/>
      <c r="X6" s="45"/>
      <c r="Y6" s="45"/>
      <c r="Z6" s="45"/>
      <c r="AA6" s="45"/>
      <c r="AB6" s="45"/>
    </row>
    <row r="7" spans="2:28" x14ac:dyDescent="0.3">
      <c r="B7" s="47" t="s">
        <v>646</v>
      </c>
      <c r="C7" s="50">
        <f>Sheet1!I62</f>
        <v>439041.80694635096</v>
      </c>
      <c r="D7" s="50">
        <f>Sheet1!M62</f>
        <v>658562.71041952656</v>
      </c>
      <c r="E7" s="50">
        <f>Sheet1!Q62</f>
        <v>878083.61389270192</v>
      </c>
      <c r="F7" s="50">
        <f>Sheet1!U62</f>
        <v>1097604.5173658777</v>
      </c>
      <c r="N7" s="45"/>
      <c r="O7" s="45"/>
      <c r="P7" s="45"/>
      <c r="Q7" s="45"/>
      <c r="R7" s="141">
        <v>0.2</v>
      </c>
      <c r="S7" s="143">
        <f t="shared" si="0"/>
        <v>-1.2500000000000001E-2</v>
      </c>
      <c r="T7" s="45"/>
      <c r="U7" s="45"/>
      <c r="V7" s="45"/>
      <c r="W7" s="45"/>
      <c r="X7" s="45"/>
      <c r="Y7" s="45"/>
      <c r="Z7" s="45"/>
      <c r="AA7" s="45"/>
      <c r="AB7" s="45"/>
    </row>
    <row r="8" spans="2:28" x14ac:dyDescent="0.3">
      <c r="B8" s="47" t="s">
        <v>65</v>
      </c>
      <c r="C8" s="50">
        <f>Sheet1!I63</f>
        <v>88861.753998863991</v>
      </c>
      <c r="D8" s="50">
        <f>Sheet1!M63</f>
        <v>133292.63099829596</v>
      </c>
      <c r="E8" s="50">
        <f>Sheet1!Q63</f>
        <v>177723.50799772798</v>
      </c>
      <c r="F8" s="50">
        <f>Sheet1!U63</f>
        <v>222154.38499715994</v>
      </c>
      <c r="N8" s="45"/>
      <c r="O8" s="45"/>
      <c r="P8" s="45"/>
      <c r="Q8" s="45"/>
      <c r="R8" s="141">
        <v>0.3</v>
      </c>
      <c r="S8" s="143">
        <f t="shared" si="0"/>
        <v>-1.5000000000000001E-2</v>
      </c>
      <c r="T8" s="45"/>
      <c r="U8" s="45"/>
      <c r="V8" s="45"/>
      <c r="W8" s="45"/>
      <c r="X8" s="45"/>
      <c r="Y8" s="45"/>
      <c r="Z8" s="45"/>
      <c r="AA8" s="45"/>
      <c r="AB8" s="45"/>
    </row>
    <row r="9" spans="2:28" x14ac:dyDescent="0.3">
      <c r="B9" s="47" t="s">
        <v>627</v>
      </c>
      <c r="C9" s="50">
        <f>Operating_Exp!J7</f>
        <v>337445.04761904763</v>
      </c>
      <c r="D9" s="50">
        <f>Operating_Exp!K7</f>
        <v>343445.04761904763</v>
      </c>
      <c r="E9" s="50">
        <f>Operating_Exp!L7</f>
        <v>349445.04761904763</v>
      </c>
      <c r="F9" s="50">
        <f>Operating_Exp!M7</f>
        <v>355445.04761904763</v>
      </c>
      <c r="N9" s="45"/>
      <c r="O9" s="45"/>
      <c r="P9" s="45"/>
      <c r="Q9" s="45"/>
      <c r="R9" s="141">
        <v>0.35</v>
      </c>
      <c r="S9" s="143">
        <f t="shared" si="0"/>
        <v>-1.7500000000000002E-2</v>
      </c>
      <c r="T9" s="45"/>
      <c r="U9" s="45"/>
      <c r="V9" s="45"/>
      <c r="W9" s="45"/>
      <c r="X9" s="45"/>
      <c r="Y9" s="45"/>
      <c r="Z9" s="45"/>
      <c r="AA9" s="45"/>
      <c r="AB9" s="45"/>
    </row>
    <row r="10" spans="2:28" x14ac:dyDescent="0.3">
      <c r="B10" s="150" t="s">
        <v>8</v>
      </c>
      <c r="C10" s="151">
        <f>SUM(C6:C9)</f>
        <v>3470845.9085642626</v>
      </c>
      <c r="D10" s="151">
        <f>SUM(D6:D9)</f>
        <v>3740797.6890368694</v>
      </c>
      <c r="E10" s="151">
        <f>SUM(E6:E9)</f>
        <v>4010749.4695094773</v>
      </c>
      <c r="F10" s="151">
        <f>SUM(F6:F9)</f>
        <v>4280701.2499820851</v>
      </c>
      <c r="N10" s="45"/>
      <c r="O10" s="45"/>
      <c r="P10" s="45"/>
      <c r="Q10" s="45"/>
      <c r="R10" s="141">
        <v>0.4</v>
      </c>
      <c r="S10" s="144">
        <f>S9-0.5%</f>
        <v>-2.2500000000000003E-2</v>
      </c>
      <c r="T10" s="45"/>
      <c r="U10" s="45"/>
      <c r="V10" s="45"/>
      <c r="W10" s="45"/>
      <c r="X10" s="45"/>
      <c r="Y10" s="45"/>
      <c r="Z10" s="45"/>
      <c r="AA10" s="45"/>
      <c r="AB10" s="45"/>
    </row>
    <row r="11" spans="2:28" x14ac:dyDescent="0.3">
      <c r="B11" s="153" t="s">
        <v>750</v>
      </c>
      <c r="C11" s="151">
        <f>C10*1.075</f>
        <v>3731159.3517065821</v>
      </c>
      <c r="D11" s="151">
        <f t="shared" ref="D11:F11" si="1">D10*1.075</f>
        <v>4021357.5157146347</v>
      </c>
      <c r="E11" s="151">
        <f t="shared" si="1"/>
        <v>4311555.6797226882</v>
      </c>
      <c r="F11" s="151">
        <f t="shared" si="1"/>
        <v>4601753.8437307412</v>
      </c>
      <c r="N11" s="45"/>
      <c r="O11" s="45"/>
      <c r="P11" s="45"/>
      <c r="Q11" s="45"/>
      <c r="R11" s="141"/>
      <c r="S11" s="144"/>
      <c r="T11" s="45"/>
      <c r="U11" s="45"/>
      <c r="V11" s="45"/>
      <c r="W11" s="45"/>
      <c r="X11" s="45"/>
      <c r="Y11" s="45"/>
      <c r="Z11" s="45"/>
      <c r="AA11" s="45"/>
      <c r="AB11" s="45"/>
    </row>
    <row r="12" spans="2:28" x14ac:dyDescent="0.3">
      <c r="B12" s="153" t="s">
        <v>751</v>
      </c>
      <c r="C12" s="151">
        <f>C10*0.925</f>
        <v>3210532.465421943</v>
      </c>
      <c r="D12" s="151">
        <f t="shared" ref="D12:F12" si="2">D10*0.925</f>
        <v>3460237.8623591042</v>
      </c>
      <c r="E12" s="151">
        <f t="shared" si="2"/>
        <v>3709943.2592962668</v>
      </c>
      <c r="F12" s="151">
        <f t="shared" si="2"/>
        <v>3959648.656233429</v>
      </c>
      <c r="N12" s="45"/>
      <c r="O12" s="45"/>
      <c r="P12" s="45"/>
      <c r="Q12" s="45"/>
      <c r="R12" s="141"/>
      <c r="S12" s="144"/>
      <c r="T12" s="45"/>
      <c r="U12" s="45"/>
      <c r="V12" s="45"/>
      <c r="W12" s="45"/>
      <c r="X12" s="45"/>
      <c r="Y12" s="45"/>
      <c r="Z12" s="45"/>
      <c r="AA12" s="45"/>
      <c r="AB12" s="45"/>
    </row>
    <row r="13" spans="2:28" x14ac:dyDescent="0.3">
      <c r="C13" s="52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</row>
    <row r="14" spans="2:28" x14ac:dyDescent="0.3">
      <c r="B14" s="215" t="s">
        <v>727</v>
      </c>
      <c r="C14" s="132">
        <f>C10/C3</f>
        <v>347.08459085642625</v>
      </c>
      <c r="D14" s="132">
        <f>D10/D3</f>
        <v>249.38651260245797</v>
      </c>
      <c r="E14" s="132">
        <f>E10/E3</f>
        <v>200.53747347547386</v>
      </c>
      <c r="F14" s="132">
        <f>F10/F3</f>
        <v>171.2280499992834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</row>
    <row r="15" spans="2:28" x14ac:dyDescent="0.3">
      <c r="B15" s="216"/>
      <c r="C15" s="131">
        <f>C14/ex_usd</f>
        <v>3.3697533092856915</v>
      </c>
      <c r="D15" s="131">
        <f>D14/ex_usd</f>
        <v>2.4212282776937668</v>
      </c>
      <c r="E15" s="131">
        <f>E14/ex_usd</f>
        <v>1.9469657618978045</v>
      </c>
      <c r="F15" s="131">
        <f>F14/ex_usd</f>
        <v>1.6624082524202273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spans="2:28" x14ac:dyDescent="0.3">
      <c r="B16" s="124"/>
      <c r="C16" s="51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spans="2:28" x14ac:dyDescent="0.3">
      <c r="B17" s="150" t="s">
        <v>738</v>
      </c>
      <c r="C17" s="152" t="s">
        <v>629</v>
      </c>
      <c r="D17" s="152" t="s">
        <v>629</v>
      </c>
      <c r="E17" s="152" t="s">
        <v>629</v>
      </c>
      <c r="F17" s="152" t="s">
        <v>629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</row>
    <row r="18" spans="2:28" x14ac:dyDescent="0.3">
      <c r="B18" s="47" t="s">
        <v>729</v>
      </c>
      <c r="C18" s="50">
        <f>C7+C8+Operating_Exp!J6</f>
        <v>539903.56094521494</v>
      </c>
      <c r="D18" s="50">
        <f>D7+D8+Operating_Exp!K6</f>
        <v>809855.34141782252</v>
      </c>
      <c r="E18" s="50">
        <f>E7+E8+Operating_Exp!L6</f>
        <v>1079807.1218904299</v>
      </c>
      <c r="F18" s="50">
        <f>F7+F8+Operating_Exp!M6</f>
        <v>1349758.9023630377</v>
      </c>
    </row>
    <row r="19" spans="2:28" x14ac:dyDescent="0.3">
      <c r="B19" s="47" t="s">
        <v>728</v>
      </c>
      <c r="C19" s="50">
        <f>C6+Operating_Exp!$D$19</f>
        <v>2930942.3476190474</v>
      </c>
      <c r="D19" s="50">
        <f>D6+Operating_Exp!$D$19</f>
        <v>2930942.3476190474</v>
      </c>
      <c r="E19" s="50">
        <f>E6+Operating_Exp!$D$19</f>
        <v>2930942.3476190474</v>
      </c>
      <c r="F19" s="50">
        <f>F6+Operating_Exp!$D$19</f>
        <v>2930942.3476190474</v>
      </c>
    </row>
    <row r="20" spans="2:28" x14ac:dyDescent="0.3">
      <c r="B20" s="150" t="s">
        <v>160</v>
      </c>
      <c r="C20" s="153">
        <f>SUM(C18:C19)</f>
        <v>3470845.9085642621</v>
      </c>
      <c r="D20" s="153">
        <f t="shared" ref="D20:F20" si="3">SUM(D18:D19)</f>
        <v>3740797.6890368699</v>
      </c>
      <c r="E20" s="153">
        <f t="shared" si="3"/>
        <v>4010749.4695094773</v>
      </c>
      <c r="F20" s="153">
        <f t="shared" si="3"/>
        <v>4280701.2499820851</v>
      </c>
    </row>
    <row r="21" spans="2:28" s="63" customFormat="1" ht="15" x14ac:dyDescent="0.25"/>
    <row r="22" spans="2:28" s="63" customFormat="1" x14ac:dyDescent="0.25">
      <c r="B22" s="150" t="s">
        <v>737</v>
      </c>
      <c r="C22" s="152" t="s">
        <v>629</v>
      </c>
      <c r="D22" s="152" t="s">
        <v>629</v>
      </c>
      <c r="E22" s="152" t="s">
        <v>629</v>
      </c>
      <c r="F22" s="152" t="s">
        <v>629</v>
      </c>
    </row>
    <row r="23" spans="2:28" s="63" customFormat="1" x14ac:dyDescent="0.3">
      <c r="B23" s="50" t="s">
        <v>740</v>
      </c>
      <c r="C23" s="50">
        <f>C18/C3</f>
        <v>53.990356094521495</v>
      </c>
      <c r="D23" s="50">
        <f>D18/D3</f>
        <v>53.990356094521502</v>
      </c>
      <c r="E23" s="50">
        <f>E18/E3</f>
        <v>53.990356094521495</v>
      </c>
      <c r="F23" s="50">
        <f>F18/F3</f>
        <v>53.990356094521509</v>
      </c>
      <c r="H23" s="84"/>
      <c r="I23" s="84"/>
      <c r="J23" s="84"/>
      <c r="K23" s="84"/>
    </row>
    <row r="24" spans="2:28" s="63" customFormat="1" x14ac:dyDescent="0.3">
      <c r="B24" s="50" t="s">
        <v>741</v>
      </c>
      <c r="C24" s="50">
        <f>C19/C3</f>
        <v>293.09423476190472</v>
      </c>
      <c r="D24" s="50">
        <f t="shared" ref="D24:F24" si="4">D19/D3</f>
        <v>195.3961565079365</v>
      </c>
      <c r="E24" s="50">
        <f t="shared" si="4"/>
        <v>146.54711738095236</v>
      </c>
      <c r="F24" s="50">
        <f t="shared" si="4"/>
        <v>117.2376939047619</v>
      </c>
      <c r="H24" s="89"/>
      <c r="I24" s="89"/>
      <c r="J24" s="89"/>
      <c r="K24" s="89"/>
      <c r="Q24" s="63" t="s">
        <v>957</v>
      </c>
    </row>
    <row r="25" spans="2:28" s="63" customFormat="1" x14ac:dyDescent="0.25">
      <c r="B25" s="213" t="s">
        <v>742</v>
      </c>
      <c r="C25" s="179">
        <f>C20/C3</f>
        <v>347.08459085642619</v>
      </c>
      <c r="D25" s="179">
        <f t="shared" ref="D25:F25" si="5">D20/D3</f>
        <v>249.386512602458</v>
      </c>
      <c r="E25" s="179">
        <f t="shared" si="5"/>
        <v>200.53747347547386</v>
      </c>
      <c r="F25" s="179">
        <f t="shared" si="5"/>
        <v>171.2280499992834</v>
      </c>
      <c r="Q25" s="63" t="s">
        <v>958</v>
      </c>
    </row>
    <row r="26" spans="2:28" s="63" customFormat="1" x14ac:dyDescent="0.25">
      <c r="B26" s="214"/>
      <c r="C26" s="180">
        <f>C25/ex_usd</f>
        <v>3.3697533092856911</v>
      </c>
      <c r="D26" s="180">
        <f>D25/ex_usd</f>
        <v>2.4212282776937668</v>
      </c>
      <c r="E26" s="180">
        <f>E25/ex_usd</f>
        <v>1.9469657618978045</v>
      </c>
      <c r="F26" s="180">
        <f>F25/ex_usd</f>
        <v>1.6624082524202273</v>
      </c>
    </row>
    <row r="27" spans="2:28" s="63" customFormat="1" ht="15" x14ac:dyDescent="0.25"/>
    <row r="28" spans="2:28" x14ac:dyDescent="0.3">
      <c r="B28" s="150" t="s">
        <v>730</v>
      </c>
      <c r="C28" s="208">
        <f>Capacity!E6</f>
        <v>0.13359605078890754</v>
      </c>
      <c r="D28" s="208">
        <f>Capacity!E7</f>
        <v>0.20039407618336144</v>
      </c>
      <c r="E28" s="208">
        <f>Capacity!E8</f>
        <v>0.26719210157781509</v>
      </c>
      <c r="F28" s="208">
        <f>Capacity!E9</f>
        <v>0.3339901269722691</v>
      </c>
    </row>
    <row r="29" spans="2:28" x14ac:dyDescent="0.3">
      <c r="B29" s="150" t="s">
        <v>739</v>
      </c>
      <c r="C29" s="153">
        <f>Capacity!G6-Basic_demo!HFN</f>
        <v>1393</v>
      </c>
      <c r="D29" s="153">
        <f>Capacity!G7-Basic_demo!HFN</f>
        <v>633.33333333333326</v>
      </c>
      <c r="E29" s="153">
        <f>Capacity!G8-Basic_demo!HFN</f>
        <v>253.5</v>
      </c>
      <c r="F29" s="153">
        <f>Capacity!G9-Basic_demo!HFN</f>
        <v>25.600000000000023</v>
      </c>
    </row>
    <row r="31" spans="2:28" x14ac:dyDescent="0.3">
      <c r="B31" s="217" t="s">
        <v>950</v>
      </c>
      <c r="C31" s="218"/>
      <c r="D31" s="218"/>
      <c r="E31" s="218"/>
      <c r="F31" s="218"/>
    </row>
    <row r="33" spans="2:10" x14ac:dyDescent="0.3">
      <c r="B33" s="219" t="s">
        <v>752</v>
      </c>
      <c r="C33" s="220"/>
      <c r="D33" s="221"/>
      <c r="E33" s="181">
        <v>0.15</v>
      </c>
      <c r="F33" s="130">
        <f>VLOOKUP(perc_increase,R4:S10,2,FALSE)</f>
        <v>-0.01</v>
      </c>
    </row>
    <row r="34" spans="2:10" x14ac:dyDescent="0.3">
      <c r="B34" s="222" t="s">
        <v>753</v>
      </c>
      <c r="C34" s="223"/>
      <c r="D34" s="182" t="s">
        <v>958</v>
      </c>
      <c r="E34" s="181">
        <v>0.05</v>
      </c>
      <c r="F34" s="130"/>
    </row>
    <row r="35" spans="2:10" x14ac:dyDescent="0.3">
      <c r="B35" s="222" t="s">
        <v>754</v>
      </c>
      <c r="C35" s="223"/>
      <c r="D35" s="182" t="s">
        <v>958</v>
      </c>
      <c r="E35" s="181">
        <v>0.1</v>
      </c>
      <c r="F35" s="130"/>
    </row>
    <row r="36" spans="2:10" s="63" customFormat="1" ht="15" x14ac:dyDescent="0.25"/>
    <row r="37" spans="2:10" s="63" customFormat="1" x14ac:dyDescent="0.3">
      <c r="B37" s="217" t="s">
        <v>956</v>
      </c>
      <c r="C37" s="218"/>
      <c r="D37" s="218"/>
      <c r="E37" s="218"/>
      <c r="F37" s="218"/>
      <c r="J37" s="43"/>
    </row>
    <row r="38" spans="2:10" x14ac:dyDescent="0.3">
      <c r="B38" s="150" t="s">
        <v>647</v>
      </c>
      <c r="C38" s="151">
        <f>pop_1</f>
        <v>10000</v>
      </c>
      <c r="D38" s="151">
        <f>pop_2</f>
        <v>15000</v>
      </c>
      <c r="E38" s="151">
        <f>pop_3</f>
        <v>20000</v>
      </c>
      <c r="F38" s="151">
        <f>Pop_4</f>
        <v>25000</v>
      </c>
    </row>
    <row r="39" spans="2:10" x14ac:dyDescent="0.3">
      <c r="B39" s="44"/>
      <c r="D39" s="113"/>
    </row>
    <row r="40" spans="2:10" x14ac:dyDescent="0.3">
      <c r="B40" s="150" t="str">
        <f t="shared" ref="B40:F40" si="6">B5</f>
        <v>Expenditure Category</v>
      </c>
      <c r="C40" s="152" t="str">
        <f t="shared" si="6"/>
        <v>PKR</v>
      </c>
      <c r="D40" s="152" t="str">
        <f t="shared" si="6"/>
        <v>PKR</v>
      </c>
      <c r="E40" s="152" t="str">
        <f t="shared" si="6"/>
        <v>PKR</v>
      </c>
      <c r="F40" s="152" t="str">
        <f t="shared" si="6"/>
        <v>PKR</v>
      </c>
    </row>
    <row r="41" spans="2:10" x14ac:dyDescent="0.3">
      <c r="B41" s="47" t="str">
        <f>B6</f>
        <v>Salaries</v>
      </c>
      <c r="C41" s="50">
        <f>IF($D$34="Decrease",(C6*(1-$E$34)),(C6*(1+$E$34)))</f>
        <v>2475222.4349999996</v>
      </c>
      <c r="D41" s="50">
        <f t="shared" ref="D41:F41" si="7">IF($D$34="Decrease",(D6*(1-$E$34)),(D6*(1+$E$34)))</f>
        <v>2475222.4349999996</v>
      </c>
      <c r="E41" s="50">
        <f t="shared" si="7"/>
        <v>2475222.4349999996</v>
      </c>
      <c r="F41" s="50">
        <f t="shared" si="7"/>
        <v>2475222.4349999996</v>
      </c>
    </row>
    <row r="42" spans="2:10" x14ac:dyDescent="0.3">
      <c r="B42" s="47" t="str">
        <f>B7</f>
        <v>Medicines and Supplies</v>
      </c>
      <c r="C42" s="50">
        <f>Sheet1!Z62*(1+eco_scale)</f>
        <v>499849.09720842063</v>
      </c>
      <c r="D42" s="50">
        <f>Sheet1!AD62*(1+eco_scale)</f>
        <v>749773.64581263089</v>
      </c>
      <c r="E42" s="50">
        <f>Sheet1!AH62*(1+eco_scale)</f>
        <v>999698.19441684126</v>
      </c>
      <c r="F42" s="50">
        <f>Sheet1!AL62*(1+eco_scale)</f>
        <v>1249622.7430210514</v>
      </c>
    </row>
    <row r="43" spans="2:10" x14ac:dyDescent="0.3">
      <c r="B43" s="47" t="str">
        <f>B8</f>
        <v>Immunisation</v>
      </c>
      <c r="C43" s="50">
        <f>Sheet1!Z63*(1+eco_scale)</f>
        <v>101169.10692770664</v>
      </c>
      <c r="D43" s="50">
        <f>Sheet1!AD63*(1+eco_scale)</f>
        <v>151753.66039155994</v>
      </c>
      <c r="E43" s="50">
        <f>Sheet1!AH63*(1+eco_scale)</f>
        <v>202338.21385541328</v>
      </c>
      <c r="F43" s="50">
        <f>Sheet1!AL63*(1+eco_scale)</f>
        <v>252922.76731926663</v>
      </c>
    </row>
    <row r="44" spans="2:10" x14ac:dyDescent="0.3">
      <c r="B44" s="47" t="str">
        <f>B9</f>
        <v>Operating Expenditure</v>
      </c>
      <c r="C44" s="50">
        <f>IF($D$35="Decrease",(Operating_Exp!$D$19*(1-BHU_Cost!$E$35)+Operating_Exp!J9),(Operating_Exp!$D$19*(1+BHU_Cost!$E$35)+Operating_Exp!J9))</f>
        <v>306700.54285714286</v>
      </c>
      <c r="D44" s="50">
        <f>IF($D$35="Decrease",(Operating_Exp!$D$19*(1-BHU_Cost!$E$35)+Operating_Exp!K9),(Operating_Exp!$D$19*(1+BHU_Cost!$E$35)+Operating_Exp!K9))</f>
        <v>313600.54285714286</v>
      </c>
      <c r="E44" s="50">
        <f>IF($D$35="Decrease",(Operating_Exp!$D$19*(1-BHU_Cost!$E$35)+Operating_Exp!L9),(Operating_Exp!$D$19*(1+BHU_Cost!$E$35)+Operating_Exp!L9))</f>
        <v>320500.54285714286</v>
      </c>
      <c r="F44" s="50">
        <f>IF($D$35="Decrease",(Operating_Exp!$D$19*(1-BHU_Cost!$E$35)+Operating_Exp!M9),(Operating_Exp!$D$19*(1+BHU_Cost!$E$35)+Operating_Exp!M9))</f>
        <v>327400.54285714286</v>
      </c>
    </row>
    <row r="45" spans="2:10" x14ac:dyDescent="0.3">
      <c r="B45" s="150" t="str">
        <f>B10</f>
        <v>Total</v>
      </c>
      <c r="C45" s="151">
        <f>SUM(C41:C44)</f>
        <v>3382941.1819932703</v>
      </c>
      <c r="D45" s="151">
        <f t="shared" ref="D45:F45" si="8">SUM(D41:D44)</f>
        <v>3690350.2840613332</v>
      </c>
      <c r="E45" s="151">
        <f t="shared" si="8"/>
        <v>3997759.386129397</v>
      </c>
      <c r="F45" s="151">
        <f t="shared" si="8"/>
        <v>4305168.4881974608</v>
      </c>
    </row>
    <row r="46" spans="2:10" x14ac:dyDescent="0.3">
      <c r="B46" s="153" t="s">
        <v>750</v>
      </c>
      <c r="C46" s="151">
        <f>C45*1.075</f>
        <v>3636661.7706427653</v>
      </c>
      <c r="D46" s="151">
        <f t="shared" ref="D46" si="9">D45*1.075</f>
        <v>3967126.5553659331</v>
      </c>
      <c r="E46" s="151">
        <f t="shared" ref="E46" si="10">E45*1.075</f>
        <v>4297591.3400891013</v>
      </c>
      <c r="F46" s="151">
        <f t="shared" ref="F46" si="11">F45*1.075</f>
        <v>4628056.1248122705</v>
      </c>
    </row>
    <row r="47" spans="2:10" x14ac:dyDescent="0.3">
      <c r="B47" s="153" t="s">
        <v>751</v>
      </c>
      <c r="C47" s="151">
        <f>C45*0.925</f>
        <v>3129220.5933437753</v>
      </c>
      <c r="D47" s="151">
        <f t="shared" ref="D47:F47" si="12">D45*0.925</f>
        <v>3413574.0127567332</v>
      </c>
      <c r="E47" s="151">
        <f t="shared" si="12"/>
        <v>3697927.4321696926</v>
      </c>
      <c r="F47" s="151">
        <f t="shared" si="12"/>
        <v>3982280.8515826515</v>
      </c>
    </row>
    <row r="49" spans="2:20" x14ac:dyDescent="0.3">
      <c r="B49" s="150" t="s">
        <v>738</v>
      </c>
      <c r="C49" s="152" t="s">
        <v>629</v>
      </c>
      <c r="D49" s="152" t="s">
        <v>629</v>
      </c>
      <c r="E49" s="152" t="s">
        <v>629</v>
      </c>
      <c r="F49" s="152" t="s">
        <v>629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</row>
    <row r="50" spans="2:20" x14ac:dyDescent="0.3">
      <c r="B50" s="47" t="s">
        <v>729</v>
      </c>
      <c r="C50" s="50">
        <f>SUM(C42:C43,Operating_Exp!J9)</f>
        <v>614818.20413612726</v>
      </c>
      <c r="D50" s="50">
        <f>SUM(D42:D43,Operating_Exp!K9)</f>
        <v>922227.30620419083</v>
      </c>
      <c r="E50" s="50">
        <f>SUM(E42:E43,Operating_Exp!L9)</f>
        <v>1229636.4082722545</v>
      </c>
      <c r="F50" s="50">
        <f>SUM(F42:F43,Operating_Exp!M9)</f>
        <v>1537045.5103403181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</row>
    <row r="51" spans="2:20" x14ac:dyDescent="0.3">
      <c r="B51" s="47" t="s">
        <v>728</v>
      </c>
      <c r="C51" s="50">
        <f>C41+Operating_Exp!$D$19</f>
        <v>2800667.4826190472</v>
      </c>
      <c r="D51" s="50">
        <f>D41+Operating_Exp!$D$19</f>
        <v>2800667.4826190472</v>
      </c>
      <c r="E51" s="50">
        <f>E41+Operating_Exp!$D$19</f>
        <v>2800667.4826190472</v>
      </c>
      <c r="F51" s="50">
        <f>F41+Operating_Exp!$D$19</f>
        <v>2800667.4826190472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2:20" x14ac:dyDescent="0.3">
      <c r="B52" s="150" t="s">
        <v>160</v>
      </c>
      <c r="C52" s="153">
        <f>SUM(C50:C51)</f>
        <v>3415485.6867551743</v>
      </c>
      <c r="D52" s="153">
        <f t="shared" ref="D52" si="13">SUM(D50:D51)</f>
        <v>3722894.7888232381</v>
      </c>
      <c r="E52" s="153">
        <f t="shared" ref="E52" si="14">SUM(E50:E51)</f>
        <v>4030303.8908913014</v>
      </c>
      <c r="F52" s="153">
        <f t="shared" ref="F52" si="15">SUM(F50:F51)</f>
        <v>4337712.9929593652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2:20" x14ac:dyDescent="0.3"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2:20" x14ac:dyDescent="0.3">
      <c r="B54" s="150" t="s">
        <v>737</v>
      </c>
      <c r="C54" s="152" t="s">
        <v>629</v>
      </c>
      <c r="D54" s="152" t="s">
        <v>629</v>
      </c>
      <c r="E54" s="152" t="s">
        <v>629</v>
      </c>
      <c r="F54" s="152" t="s">
        <v>629</v>
      </c>
      <c r="H54" s="45" t="s">
        <v>755</v>
      </c>
      <c r="I54" s="147"/>
      <c r="J54" s="148">
        <f>C26</f>
        <v>3.3697533092856911</v>
      </c>
      <c r="K54" s="148">
        <f>D26</f>
        <v>2.4212282776937668</v>
      </c>
      <c r="L54" s="148">
        <f>E26</f>
        <v>1.9469657618978045</v>
      </c>
      <c r="M54" s="148">
        <f>F26</f>
        <v>1.6624082524202273</v>
      </c>
      <c r="N54" s="147" t="s">
        <v>758</v>
      </c>
      <c r="O54" s="45"/>
      <c r="P54" s="45"/>
      <c r="Q54" s="45"/>
      <c r="R54" s="45"/>
      <c r="S54" s="45"/>
      <c r="T54" s="45"/>
    </row>
    <row r="55" spans="2:20" x14ac:dyDescent="0.3">
      <c r="B55" s="50" t="s">
        <v>740</v>
      </c>
      <c r="C55" s="50">
        <f>C50/C38</f>
        <v>61.481820413612724</v>
      </c>
      <c r="D55" s="50">
        <f>D50/D38</f>
        <v>61.481820413612724</v>
      </c>
      <c r="E55" s="50">
        <f>E50/E38</f>
        <v>61.481820413612724</v>
      </c>
      <c r="F55" s="50">
        <f>F50/F38</f>
        <v>61.481820413612724</v>
      </c>
      <c r="H55" s="45" t="s">
        <v>756</v>
      </c>
      <c r="I55" s="147"/>
      <c r="J55" s="148">
        <f>C58</f>
        <v>3.2844089145565731</v>
      </c>
      <c r="K55" s="148">
        <f>D58</f>
        <v>2.3885762356384035</v>
      </c>
      <c r="L55" s="148">
        <f>E58</f>
        <v>1.9406598961793189</v>
      </c>
      <c r="M55" s="148">
        <f>F58</f>
        <v>1.6719100925038684</v>
      </c>
      <c r="N55" s="147" t="s">
        <v>757</v>
      </c>
      <c r="O55" s="45"/>
      <c r="P55" s="45"/>
      <c r="Q55" s="45"/>
      <c r="R55" s="45"/>
      <c r="S55" s="45"/>
      <c r="T55" s="45"/>
    </row>
    <row r="56" spans="2:20" x14ac:dyDescent="0.3">
      <c r="B56" s="50" t="s">
        <v>741</v>
      </c>
      <c r="C56" s="50">
        <f>C51/C38</f>
        <v>280.06674826190471</v>
      </c>
      <c r="D56" s="50">
        <f>D51/D38</f>
        <v>186.71116550793647</v>
      </c>
      <c r="E56" s="50">
        <f>E51/E38</f>
        <v>140.03337413095235</v>
      </c>
      <c r="F56" s="50">
        <f>F51/F38</f>
        <v>112.02669930476189</v>
      </c>
      <c r="H56" s="45"/>
      <c r="I56" s="45"/>
      <c r="J56" s="141">
        <f>C28</f>
        <v>0.13359605078890754</v>
      </c>
      <c r="K56" s="141">
        <f>D28</f>
        <v>0.20039407618336144</v>
      </c>
      <c r="L56" s="141">
        <f>E28</f>
        <v>0.26719210157781509</v>
      </c>
      <c r="M56" s="141">
        <f>F28</f>
        <v>0.3339901269722691</v>
      </c>
      <c r="N56" s="45" t="s">
        <v>759</v>
      </c>
      <c r="O56" s="45"/>
      <c r="P56" s="45"/>
      <c r="Q56" s="45"/>
      <c r="R56" s="45"/>
      <c r="S56" s="45"/>
      <c r="T56" s="45"/>
    </row>
    <row r="57" spans="2:20" x14ac:dyDescent="0.3">
      <c r="B57" s="213" t="s">
        <v>742</v>
      </c>
      <c r="C57" s="179">
        <f>C45/C38</f>
        <v>338.29411819932704</v>
      </c>
      <c r="D57" s="179">
        <f>D45/D38</f>
        <v>246.02335227075554</v>
      </c>
      <c r="E57" s="179">
        <f>E45/E38</f>
        <v>199.88796930646984</v>
      </c>
      <c r="F57" s="179">
        <f>F45/F38</f>
        <v>172.20673952789843</v>
      </c>
      <c r="H57" s="45"/>
      <c r="I57" s="45"/>
      <c r="J57" s="141">
        <f>C60</f>
        <v>0.15114185571364103</v>
      </c>
      <c r="K57" s="141">
        <f>D60</f>
        <v>0.23045318761086558</v>
      </c>
      <c r="L57" s="141">
        <f>E60</f>
        <v>0.30228371142728205</v>
      </c>
      <c r="M57" s="141">
        <f>F60</f>
        <v>0.37785463928410257</v>
      </c>
      <c r="N57" s="45" t="s">
        <v>760</v>
      </c>
      <c r="O57" s="45"/>
      <c r="P57" s="45"/>
      <c r="Q57" s="45"/>
      <c r="R57" s="45"/>
      <c r="S57" s="45"/>
      <c r="T57" s="45"/>
    </row>
    <row r="58" spans="2:20" x14ac:dyDescent="0.3">
      <c r="B58" s="214"/>
      <c r="C58" s="180">
        <f>C57/ex_usd</f>
        <v>3.2844089145565731</v>
      </c>
      <c r="D58" s="180">
        <f>D57/ex_usd</f>
        <v>2.3885762356384035</v>
      </c>
      <c r="E58" s="180">
        <f>E57/ex_usd</f>
        <v>1.9406598961793189</v>
      </c>
      <c r="F58" s="180">
        <f>F57/ex_usd</f>
        <v>1.6719100925038684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</row>
    <row r="60" spans="2:20" x14ac:dyDescent="0.3">
      <c r="B60" s="150" t="str">
        <f>B28</f>
        <v>Capacity Utilisation</v>
      </c>
      <c r="C60" s="208">
        <f>Capacity!E13</f>
        <v>0.15114185571364103</v>
      </c>
      <c r="D60" s="208">
        <f>Capacity!E14</f>
        <v>0.23045318761086558</v>
      </c>
      <c r="E60" s="208">
        <f>Capacity!E15</f>
        <v>0.30228371142728205</v>
      </c>
      <c r="F60" s="208">
        <f>Capacity!E16</f>
        <v>0.37785463928410257</v>
      </c>
    </row>
    <row r="61" spans="2:20" hidden="1" x14ac:dyDescent="0.3">
      <c r="C61" s="52">
        <f>Capacity!D13</f>
        <v>6464.0348851609997</v>
      </c>
      <c r="D61" s="52">
        <f>Capacity!D14</f>
        <v>9856.0219277414999</v>
      </c>
      <c r="E61" s="52">
        <f>Capacity!D15</f>
        <v>12928.069770321999</v>
      </c>
      <c r="F61" s="52">
        <f>Capacity!D16</f>
        <v>16160.087212902499</v>
      </c>
    </row>
    <row r="62" spans="2:20" hidden="1" x14ac:dyDescent="0.3">
      <c r="C62" s="123">
        <f>C61/C38</f>
        <v>0.64640348851609997</v>
      </c>
      <c r="D62" s="123">
        <f>D61/D38</f>
        <v>0.65706812851609997</v>
      </c>
      <c r="E62" s="123">
        <f>E61/E38</f>
        <v>0.64640348851609997</v>
      </c>
      <c r="F62" s="123">
        <f>F61/F38</f>
        <v>0.64640348851609997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">
    <mergeCell ref="B57:B58"/>
    <mergeCell ref="B14:B15"/>
    <mergeCell ref="B2:F2"/>
    <mergeCell ref="B33:D33"/>
    <mergeCell ref="B37:F37"/>
    <mergeCell ref="B25:B26"/>
    <mergeCell ref="B34:C34"/>
    <mergeCell ref="B35:C35"/>
    <mergeCell ref="B31:F31"/>
  </mergeCells>
  <dataValidations count="7">
    <dataValidation type="list" allowBlank="1" showInputMessage="1" showErrorMessage="1" sqref="D39">
      <formula1>$R$5:$R$8</formula1>
    </dataValidation>
    <dataValidation type="list" allowBlank="1" showInputMessage="1" showErrorMessage="1" sqref="E36">
      <formula1>$R$4:$R$10</formula1>
    </dataValidation>
    <dataValidation type="list" allowBlank="1" showInputMessage="1" showErrorMessage="1" promptTitle="Coverage" prompt="Select increase in coverage" sqref="E33">
      <formula1>$R$4:$R$10</formula1>
    </dataValidation>
    <dataValidation allowBlank="1" showInputMessage="1" showErrorMessage="1" promptTitle="Salaries" prompt="Enter (%) change in salaries" sqref="E34"/>
    <dataValidation allowBlank="1" showInputMessage="1" showErrorMessage="1" promptTitle="Operational Cost" prompt="Enter (%) change  in operational cost" sqref="E35"/>
    <dataValidation type="list" allowBlank="1" showInputMessage="1" showErrorMessage="1" promptTitle="Salaries" prompt="Select appropriate option" sqref="D35">
      <formula1>$Q$24:$Q$25</formula1>
    </dataValidation>
    <dataValidation type="list" allowBlank="1" showInputMessage="1" showErrorMessage="1" promptTitle="Salaries" prompt="Select appropriate option" sqref="D34">
      <formula1>$Q$24:$Q$25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1:K53"/>
  <sheetViews>
    <sheetView showGridLines="0" zoomScaleNormal="100" workbookViewId="0">
      <selection activeCell="F14" sqref="F14 J14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.85546875" style="63" bestFit="1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65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74" t="s">
        <v>15</v>
      </c>
      <c r="C6" s="65">
        <v>1</v>
      </c>
      <c r="D6" s="65">
        <v>4</v>
      </c>
      <c r="E6" s="76">
        <v>1</v>
      </c>
      <c r="F6" s="66">
        <v>1</v>
      </c>
      <c r="G6" s="67">
        <f>C6*D6*E6*F6</f>
        <v>4</v>
      </c>
      <c r="H6" s="68">
        <f>IF(G6=0,"",(VLOOKUP($B$6:$B$15,Drugs_list!$C$9:$K$172,7,FALSE)))</f>
        <v>16.361800000000002</v>
      </c>
      <c r="I6" s="68">
        <f>IF(G6=0,"",(G6*H6))</f>
        <v>65.447200000000009</v>
      </c>
      <c r="K6" s="63" t="str">
        <f>VLOOKUP($B$6:$B$15,Drugs_list!$C$9:$K$172,9,FALSE)</f>
        <v>1dose</v>
      </c>
    </row>
    <row r="7" spans="2:11" x14ac:dyDescent="0.25">
      <c r="B7" s="64" t="s">
        <v>422</v>
      </c>
      <c r="C7" s="65">
        <v>1</v>
      </c>
      <c r="D7" s="65">
        <v>3</v>
      </c>
      <c r="E7" s="76">
        <v>1</v>
      </c>
      <c r="F7" s="66">
        <v>1</v>
      </c>
      <c r="G7" s="67">
        <f t="shared" ref="G7:G15" si="0">C7*D7*E7*F7</f>
        <v>3</v>
      </c>
      <c r="H7" s="68">
        <f>IF(G7=0,"",(VLOOKUP($B$6:$B$15,Drugs_list!$C$9:$K$172,7,FALSE)))</f>
        <v>394.4</v>
      </c>
      <c r="I7" s="68">
        <f t="shared" ref="I7:I15" si="1">IF(G7=0,"",(G7*H7))</f>
        <v>1183.1999999999998</v>
      </c>
      <c r="K7" s="63" t="str">
        <f>VLOOKUP($B$6:$B$15,Drugs_list!$C$9:$K$172,9,FALSE)</f>
        <v>dose</v>
      </c>
    </row>
    <row r="8" spans="2:11" x14ac:dyDescent="0.25">
      <c r="B8" s="64" t="s">
        <v>523</v>
      </c>
      <c r="C8" s="65">
        <v>1</v>
      </c>
      <c r="D8" s="65">
        <v>3</v>
      </c>
      <c r="E8" s="76">
        <v>1</v>
      </c>
      <c r="F8" s="66">
        <v>1</v>
      </c>
      <c r="G8" s="67">
        <f t="shared" si="0"/>
        <v>3</v>
      </c>
      <c r="H8" s="68">
        <f>IF(G8=0,"",(VLOOKUP($B$6:$B$15,Drugs_list!$C$9:$K$172,7,FALSE)))</f>
        <v>637</v>
      </c>
      <c r="I8" s="68">
        <f t="shared" si="1"/>
        <v>1911</v>
      </c>
      <c r="K8" s="63" t="str">
        <f>VLOOKUP($B$6:$B$15,Drugs_list!$C$9:$K$172,9,FALSE)</f>
        <v>1dose</v>
      </c>
    </row>
    <row r="9" spans="2:11" x14ac:dyDescent="0.25">
      <c r="B9" s="64" t="s">
        <v>16</v>
      </c>
      <c r="C9" s="65">
        <v>1</v>
      </c>
      <c r="D9" s="65">
        <v>2</v>
      </c>
      <c r="E9" s="76">
        <v>1</v>
      </c>
      <c r="F9" s="66">
        <v>1</v>
      </c>
      <c r="G9" s="67">
        <f t="shared" si="0"/>
        <v>2</v>
      </c>
      <c r="H9" s="68">
        <f>IF(G9=0,"",(VLOOKUP($B$6:$B$15,Drugs_list!$C$9:$K$172,7,FALSE)))</f>
        <v>31.667999999999999</v>
      </c>
      <c r="I9" s="68">
        <f t="shared" si="1"/>
        <v>63.335999999999999</v>
      </c>
      <c r="K9" s="63" t="str">
        <f>VLOOKUP($B$6:$B$15,Drugs_list!$C$9:$K$172,9,FALSE)</f>
        <v>1dose</v>
      </c>
    </row>
    <row r="10" spans="2:11" x14ac:dyDescent="0.25">
      <c r="B10" s="64" t="s">
        <v>328</v>
      </c>
      <c r="C10" s="65">
        <v>1</v>
      </c>
      <c r="D10" s="65">
        <v>1</v>
      </c>
      <c r="E10" s="76">
        <v>1</v>
      </c>
      <c r="F10" s="66">
        <v>1</v>
      </c>
      <c r="G10" s="67">
        <f t="shared" si="0"/>
        <v>1</v>
      </c>
      <c r="H10" s="68">
        <f>IF(G10=0,"",(VLOOKUP($B$6:$B$15,Drugs_list!$C$9:$K$172,7,FALSE)))</f>
        <v>12.18</v>
      </c>
      <c r="I10" s="68">
        <f t="shared" si="1"/>
        <v>12.18</v>
      </c>
      <c r="K10" s="63" t="str">
        <f>VLOOKUP($B$6:$B$15,Drugs_list!$C$9:$K$172,9,FALSE)</f>
        <v>1dose</v>
      </c>
    </row>
    <row r="11" spans="2:11" x14ac:dyDescent="0.25">
      <c r="B11" s="64" t="s">
        <v>17</v>
      </c>
      <c r="C11" s="65">
        <v>1</v>
      </c>
      <c r="D11" s="65">
        <v>1</v>
      </c>
      <c r="E11" s="76">
        <v>1</v>
      </c>
      <c r="F11" s="66">
        <v>1</v>
      </c>
      <c r="G11" s="67">
        <f t="shared" si="0"/>
        <v>1</v>
      </c>
      <c r="H11" s="68">
        <f>IF(G11=0,"",(VLOOKUP($B$6:$B$15,Drugs_list!$C$9:$K$172,7,FALSE)))</f>
        <v>42.223999999999997</v>
      </c>
      <c r="I11" s="68">
        <f t="shared" si="1"/>
        <v>42.223999999999997</v>
      </c>
      <c r="K11" s="63" t="str">
        <f>VLOOKUP($B$6:$B$15,Drugs_list!$C$9:$K$172,9,FALSE)</f>
        <v>1dose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3277.3871999999997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 t="s">
        <v>524</v>
      </c>
      <c r="C21" s="65">
        <v>10</v>
      </c>
      <c r="D21" s="66">
        <v>1</v>
      </c>
      <c r="E21" s="67">
        <f>IF(C21="","",(VLOOKUP($B$21:$B$30,Supplies_list!$C$8:$G$64,5,FALSE)))</f>
        <v>4.95</v>
      </c>
      <c r="F21" s="67">
        <f>IF(C21="","",(C21*D21*E21))</f>
        <v>49.5</v>
      </c>
    </row>
    <row r="22" spans="2:6" x14ac:dyDescent="0.25">
      <c r="B22" s="64" t="s">
        <v>301</v>
      </c>
      <c r="C22" s="65">
        <v>4</v>
      </c>
      <c r="D22" s="66">
        <v>1</v>
      </c>
      <c r="E22" s="67">
        <f>IF(C22="","",(VLOOKUP($B$21:$B$30,Supplies_list!$C$8:$G$64,5,FALSE)))</f>
        <v>4.4000000000000004</v>
      </c>
      <c r="F22" s="67">
        <f t="shared" ref="F22:F30" si="2">IF(C22="","",(C22*D22*E22))</f>
        <v>17.600000000000001</v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67.099999999999994</v>
      </c>
    </row>
    <row r="35" spans="2:5" ht="15.75" x14ac:dyDescent="0.25">
      <c r="B35" s="236" t="s">
        <v>163</v>
      </c>
      <c r="C35" s="236"/>
      <c r="D35" s="236"/>
      <c r="E35" s="236"/>
    </row>
    <row r="36" spans="2:5" x14ac:dyDescent="0.25">
      <c r="B36" s="184" t="s">
        <v>0</v>
      </c>
      <c r="C36" s="184" t="s">
        <v>1</v>
      </c>
      <c r="D36" s="184" t="s">
        <v>159</v>
      </c>
      <c r="E36" s="184" t="s">
        <v>160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3277.3871999999997</v>
      </c>
    </row>
    <row r="51" spans="2:3" x14ac:dyDescent="0.25">
      <c r="B51" s="72" t="s">
        <v>147</v>
      </c>
      <c r="C51" s="73">
        <f>F31</f>
        <v>67.099999999999994</v>
      </c>
    </row>
    <row r="52" spans="2:3" x14ac:dyDescent="0.25">
      <c r="B52" s="72" t="s">
        <v>596</v>
      </c>
      <c r="C52" s="73">
        <f>F47</f>
        <v>0</v>
      </c>
    </row>
    <row r="53" spans="2:3" x14ac:dyDescent="0.25">
      <c r="B53" s="186" t="s">
        <v>8</v>
      </c>
      <c r="C53" s="198">
        <f>SUM(C50:C52)</f>
        <v>3344.4871999999996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1:K53"/>
  <sheetViews>
    <sheetView showGridLines="0" zoomScaleNormal="100" workbookViewId="0">
      <selection activeCell="F14" sqref="F14 J14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522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74" t="s">
        <v>20</v>
      </c>
      <c r="C6" s="65">
        <v>3</v>
      </c>
      <c r="D6" s="65">
        <v>4</v>
      </c>
      <c r="E6" s="76">
        <v>0.25</v>
      </c>
      <c r="F6" s="66">
        <v>1</v>
      </c>
      <c r="G6" s="67">
        <f>C6*D6*E6*F6</f>
        <v>3</v>
      </c>
      <c r="H6" s="68">
        <f>IF(G6=0,"",(VLOOKUP($B$6:$B$15,Drugs_list!$C$9:$K$172,7,FALSE)))</f>
        <v>0.52200000000000002</v>
      </c>
      <c r="I6" s="68">
        <f>IF(G6=0,"",(G6*H6))</f>
        <v>1.5660000000000001</v>
      </c>
      <c r="K6" s="63" t="str">
        <f>VLOOKUP($B$6:$B$15,Drugs_list!$C$9:$K$172,9,FALSE)</f>
        <v>1tab</v>
      </c>
    </row>
    <row r="7" spans="2:11" x14ac:dyDescent="0.25">
      <c r="B7" s="64"/>
      <c r="C7" s="65"/>
      <c r="D7" s="65"/>
      <c r="E7" s="76"/>
      <c r="F7" s="66"/>
      <c r="G7" s="67">
        <f t="shared" ref="G7:G15" si="0">C7*D7*E7*F7</f>
        <v>0</v>
      </c>
      <c r="H7" s="68" t="str">
        <f>IF(G7=0,"",(VLOOKUP($B$6:$B$15,Drugs_list!$C$9:$K$172,7,FALSE)))</f>
        <v/>
      </c>
      <c r="I7" s="68" t="str">
        <f t="shared" ref="I7:I15" si="1">IF(G7=0,"",(G7*H7))</f>
        <v/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76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6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6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6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1.5660000000000001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 t="s">
        <v>501</v>
      </c>
      <c r="C21" s="65">
        <v>1</v>
      </c>
      <c r="D21" s="66">
        <v>1</v>
      </c>
      <c r="E21" s="67">
        <f>IF(C21="","",(VLOOKUP($B$21:$B$30,Supplies_list!$C$8:$G$64,5,FALSE)))</f>
        <v>0.53900000000000003</v>
      </c>
      <c r="F21" s="67">
        <f>IF(C21="","",(C21*D21*E21))</f>
        <v>0.53900000000000003</v>
      </c>
    </row>
    <row r="22" spans="2:6" x14ac:dyDescent="0.25">
      <c r="B22" s="154" t="s">
        <v>301</v>
      </c>
      <c r="C22" s="65">
        <v>1</v>
      </c>
      <c r="D22" s="66">
        <v>1</v>
      </c>
      <c r="E22" s="67">
        <f>IF(C22="","",(VLOOKUP($B$21:$B$30,Supplies_list!$C$8:$G$64,5,FALSE)))</f>
        <v>4.4000000000000004</v>
      </c>
      <c r="F22" s="67">
        <f t="shared" ref="F22:F30" si="2">IF(C22="","",(C22*D22*E22))</f>
        <v>4.4000000000000004</v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4.9390000000000001</v>
      </c>
    </row>
    <row r="35" spans="2:6" ht="15.75" x14ac:dyDescent="0.25">
      <c r="B35" s="236" t="s">
        <v>163</v>
      </c>
      <c r="C35" s="236"/>
      <c r="D35" s="236"/>
      <c r="E35" s="236"/>
      <c r="F35" s="255"/>
    </row>
    <row r="36" spans="2:6" ht="20.25" customHeight="1" x14ac:dyDescent="0.25">
      <c r="B36" s="184" t="s">
        <v>0</v>
      </c>
      <c r="C36" s="184" t="s">
        <v>1</v>
      </c>
      <c r="D36" s="184" t="s">
        <v>513</v>
      </c>
      <c r="E36" s="184" t="s">
        <v>159</v>
      </c>
      <c r="F36" s="194" t="s">
        <v>160</v>
      </c>
    </row>
    <row r="37" spans="2:6" x14ac:dyDescent="0.25">
      <c r="B37" s="64" t="s">
        <v>183</v>
      </c>
      <c r="C37" s="65">
        <v>1</v>
      </c>
      <c r="D37" s="77">
        <v>0.25</v>
      </c>
      <c r="E37" s="67">
        <f>IF(C37="","",(VLOOKUP($B$37:$B$46,Lab_tests!$H$6:$I$47,2,FALSE)))</f>
        <v>5</v>
      </c>
      <c r="F37" s="67">
        <f t="shared" ref="F37:F46" si="3">IF(C37="","",(C37*D37*E37))</f>
        <v>1.25</v>
      </c>
    </row>
    <row r="38" spans="2:6" x14ac:dyDescent="0.25">
      <c r="B38" s="64"/>
      <c r="C38" s="65"/>
      <c r="D38" s="77"/>
      <c r="E38" s="67" t="str">
        <f>IF(B38="","",(VLOOKUP($B$37:$B$46,Lab_tests!$H$6:$I$47,2,FALSE)))</f>
        <v/>
      </c>
      <c r="F38" s="67" t="str">
        <f t="shared" si="3"/>
        <v/>
      </c>
    </row>
    <row r="39" spans="2:6" x14ac:dyDescent="0.25">
      <c r="B39" s="64"/>
      <c r="C39" s="65"/>
      <c r="D39" s="77"/>
      <c r="E39" s="67" t="str">
        <f>IF(B39="","",(VLOOKUP($B$37:$B$46,Lab_tests!$H$6:$I$47,2,FALSE)))</f>
        <v/>
      </c>
      <c r="F39" s="67" t="str">
        <f t="shared" si="3"/>
        <v/>
      </c>
    </row>
    <row r="40" spans="2:6" x14ac:dyDescent="0.25">
      <c r="B40" s="64"/>
      <c r="C40" s="65"/>
      <c r="D40" s="77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77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77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77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77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77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77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187">
        <f>SUM(F37:F43)</f>
        <v>1.25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1.5660000000000001</v>
      </c>
    </row>
    <row r="51" spans="2:3" x14ac:dyDescent="0.25">
      <c r="B51" s="72" t="s">
        <v>147</v>
      </c>
      <c r="C51" s="73">
        <f>F31</f>
        <v>4.9390000000000001</v>
      </c>
    </row>
    <row r="52" spans="2:3" x14ac:dyDescent="0.25">
      <c r="B52" s="72" t="s">
        <v>596</v>
      </c>
      <c r="C52" s="73">
        <f>F47</f>
        <v>1.25</v>
      </c>
    </row>
    <row r="53" spans="2:3" x14ac:dyDescent="0.25">
      <c r="B53" s="186" t="s">
        <v>8</v>
      </c>
      <c r="C53" s="198">
        <f>SUM(C50:C52)</f>
        <v>7.7549999999999999</v>
      </c>
    </row>
  </sheetData>
  <sheetProtection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1:K53"/>
  <sheetViews>
    <sheetView showGridLines="0" zoomScaleNormal="100" workbookViewId="0">
      <selection activeCell="F14" sqref="F14 J14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529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74" t="s">
        <v>525</v>
      </c>
      <c r="C6" s="65">
        <v>1</v>
      </c>
      <c r="D6" s="65">
        <v>155</v>
      </c>
      <c r="E6" s="76">
        <v>1</v>
      </c>
      <c r="F6" s="66">
        <v>1</v>
      </c>
      <c r="G6" s="67">
        <f>C6*D6*E6*F6</f>
        <v>155</v>
      </c>
      <c r="H6" s="68">
        <f>IF(G6=0,"",(VLOOKUP($B$6:$B$15,Drugs_list!$C$9:$K$184,7,FALSE)))</f>
        <v>0.57999999999999996</v>
      </c>
      <c r="I6" s="68">
        <f>IF(G6=0,"",(G6*H6))</f>
        <v>89.899999999999991</v>
      </c>
      <c r="K6" s="63" t="e">
        <f>VLOOKUP($B$6:$B$15,Drugs_list!$C$9:$K$172,9,FALSE)</f>
        <v>#N/A</v>
      </c>
    </row>
    <row r="7" spans="2:11" x14ac:dyDescent="0.25">
      <c r="B7" s="64"/>
      <c r="C7" s="65"/>
      <c r="D7" s="65"/>
      <c r="E7" s="76"/>
      <c r="F7" s="66"/>
      <c r="G7" s="67">
        <f t="shared" ref="G7:G15" si="0">C7*D7*E7*F7</f>
        <v>0</v>
      </c>
      <c r="H7" s="68" t="str">
        <f>IF(G7=0,"",(VLOOKUP($B$6:$B$15,Drugs_list!$C$9:$K$172,7,FALSE)))</f>
        <v/>
      </c>
      <c r="I7" s="68" t="str">
        <f t="shared" ref="I7:I15" si="1">IF(G7=0,"",(G7*H7))</f>
        <v/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76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6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6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6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89.899999999999991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 t="s">
        <v>301</v>
      </c>
      <c r="C21" s="65">
        <v>1</v>
      </c>
      <c r="D21" s="66">
        <v>1</v>
      </c>
      <c r="E21" s="67">
        <f>IF(C21="","",(VLOOKUP($B$21:$B$30,Supplies_list!$C$8:$G$64,5,FALSE)))</f>
        <v>4.4000000000000004</v>
      </c>
      <c r="F21" s="67">
        <f>IF(C21="","",(C21*D21*E21))</f>
        <v>4.4000000000000004</v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4.4000000000000004</v>
      </c>
    </row>
    <row r="35" spans="2:5" ht="15.75" x14ac:dyDescent="0.25">
      <c r="B35" s="236" t="s">
        <v>163</v>
      </c>
      <c r="C35" s="236"/>
      <c r="D35" s="236"/>
      <c r="E35" s="236"/>
    </row>
    <row r="36" spans="2:5" x14ac:dyDescent="0.25">
      <c r="B36" s="184" t="s">
        <v>0</v>
      </c>
      <c r="C36" s="184" t="s">
        <v>1</v>
      </c>
      <c r="D36" s="184" t="s">
        <v>159</v>
      </c>
      <c r="E36" s="184" t="s">
        <v>160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89.899999999999991</v>
      </c>
    </row>
    <row r="51" spans="2:3" x14ac:dyDescent="0.25">
      <c r="B51" s="72" t="s">
        <v>147</v>
      </c>
      <c r="C51" s="73">
        <f>F31</f>
        <v>4.4000000000000004</v>
      </c>
    </row>
    <row r="52" spans="2:3" x14ac:dyDescent="0.25">
      <c r="B52" s="72" t="s">
        <v>596</v>
      </c>
      <c r="C52" s="73">
        <f>F47</f>
        <v>0</v>
      </c>
    </row>
    <row r="53" spans="2:3" x14ac:dyDescent="0.25">
      <c r="B53" s="186" t="s">
        <v>8</v>
      </c>
      <c r="C53" s="198">
        <f>SUM(C50:C52)</f>
        <v>94.3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Drugs_list!$C$9:$C$184</xm:f>
          </x14:formula1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1:K53"/>
  <sheetViews>
    <sheetView showGridLines="0" zoomScaleNormal="100" workbookViewId="0">
      <selection activeCell="F14" sqref="F14 J14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530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74" t="s">
        <v>394</v>
      </c>
      <c r="C6" s="65">
        <v>1</v>
      </c>
      <c r="D6" s="65">
        <v>15</v>
      </c>
      <c r="E6" s="76">
        <v>1</v>
      </c>
      <c r="F6" s="66">
        <v>1</v>
      </c>
      <c r="G6" s="67">
        <f>C6*D6*E6*F6</f>
        <v>15</v>
      </c>
      <c r="H6" s="68">
        <f>IF(G6=0,"",(VLOOKUP($B$6:$B$15,Drugs_list!$C$9:$K$184,7,FALSE)))</f>
        <v>5.8</v>
      </c>
      <c r="I6" s="68">
        <f>IF(G6=0,"",(G6*H6))</f>
        <v>87</v>
      </c>
      <c r="K6" s="63" t="str">
        <f>VLOOKUP($B$6:$B$15,Drugs_list!$C$9:$K$172,9,FALSE)</f>
        <v>cycle</v>
      </c>
    </row>
    <row r="7" spans="2:11" x14ac:dyDescent="0.25">
      <c r="B7" s="64"/>
      <c r="C7" s="65"/>
      <c r="D7" s="65"/>
      <c r="E7" s="76"/>
      <c r="F7" s="66"/>
      <c r="G7" s="67">
        <f t="shared" ref="G7:G15" si="0">C7*D7*E7*F7</f>
        <v>0</v>
      </c>
      <c r="H7" s="68" t="str">
        <f>IF(G7=0,"",(VLOOKUP($B$6:$B$15,Drugs_list!$C$9:$K$172,7,FALSE)))</f>
        <v/>
      </c>
      <c r="I7" s="68" t="str">
        <f t="shared" ref="I7:I15" si="1">IF(G7=0,"",(G7*H7))</f>
        <v/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76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6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6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6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87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 t="s">
        <v>301</v>
      </c>
      <c r="C21" s="65">
        <v>1</v>
      </c>
      <c r="D21" s="66">
        <v>1</v>
      </c>
      <c r="E21" s="67">
        <f>IF(C21="","",(VLOOKUP($B$21:$B$30,Supplies_list!$C$8:$G$64,5,FALSE)))</f>
        <v>4.4000000000000004</v>
      </c>
      <c r="F21" s="67">
        <f>IF(C21="","",(C21*D21*E21))</f>
        <v>4.4000000000000004</v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4.4000000000000004</v>
      </c>
    </row>
    <row r="35" spans="2:5" ht="15.75" x14ac:dyDescent="0.25">
      <c r="B35" s="236" t="s">
        <v>163</v>
      </c>
      <c r="C35" s="236"/>
      <c r="D35" s="236"/>
      <c r="E35" s="236"/>
    </row>
    <row r="36" spans="2:5" x14ac:dyDescent="0.25">
      <c r="B36" s="184" t="s">
        <v>0</v>
      </c>
      <c r="C36" s="184" t="s">
        <v>1</v>
      </c>
      <c r="D36" s="184" t="s">
        <v>159</v>
      </c>
      <c r="E36" s="184" t="s">
        <v>160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87</v>
      </c>
    </row>
    <row r="51" spans="2:3" x14ac:dyDescent="0.25">
      <c r="B51" s="72" t="s">
        <v>147</v>
      </c>
      <c r="C51" s="73">
        <f>F31</f>
        <v>4.4000000000000004</v>
      </c>
    </row>
    <row r="52" spans="2:3" x14ac:dyDescent="0.25">
      <c r="B52" s="72" t="s">
        <v>596</v>
      </c>
      <c r="C52" s="73">
        <f>E47</f>
        <v>0</v>
      </c>
    </row>
    <row r="53" spans="2:3" x14ac:dyDescent="0.25">
      <c r="B53" s="186" t="s">
        <v>8</v>
      </c>
      <c r="C53" s="198">
        <f>SUM(C50:C52)</f>
        <v>91.4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Drugs_list!$C$9:$C$184</xm:f>
          </x14:formula1>
          <xm:sqref>B6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B7:B15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1:K53"/>
  <sheetViews>
    <sheetView showGridLines="0" topLeftCell="A7" zoomScaleNormal="100" workbookViewId="0">
      <selection activeCell="F14" sqref="F14 J14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531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74" t="s">
        <v>400</v>
      </c>
      <c r="C6" s="65">
        <v>1</v>
      </c>
      <c r="D6" s="65">
        <v>4</v>
      </c>
      <c r="E6" s="76">
        <v>1</v>
      </c>
      <c r="F6" s="66">
        <v>1</v>
      </c>
      <c r="G6" s="67">
        <f>C6*D6*E6*F6</f>
        <v>4</v>
      </c>
      <c r="H6" s="68">
        <f>IF(G6=0,"",(VLOOKUP($B$6:$B$15,Drugs_list!$C$9:$K$184,7,FALSE)))</f>
        <v>8.120000000000001</v>
      </c>
      <c r="I6" s="68">
        <f>IF(G6=0,"",(G6*H6))</f>
        <v>32.480000000000004</v>
      </c>
      <c r="K6" s="63" t="str">
        <f>VLOOKUP($B$6:$B$15,Drugs_list!$C$9:$K$172,9,FALSE)</f>
        <v>1inj</v>
      </c>
    </row>
    <row r="7" spans="2:11" x14ac:dyDescent="0.25">
      <c r="B7" s="64"/>
      <c r="C7" s="65"/>
      <c r="D7" s="65"/>
      <c r="E7" s="76"/>
      <c r="F7" s="66"/>
      <c r="G7" s="67">
        <f t="shared" ref="G7:G15" si="0">C7*D7*E7*F7</f>
        <v>0</v>
      </c>
      <c r="H7" s="68" t="str">
        <f>IF(G7=0,"",(VLOOKUP($B$6:$B$15,Drugs_list!$C$9:$K$172,7,FALSE)))</f>
        <v/>
      </c>
      <c r="I7" s="68" t="str">
        <f t="shared" ref="I7:I15" si="1">IF(G7=0,"",(G7*H7))</f>
        <v/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76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6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6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6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32.480000000000004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 t="s">
        <v>148</v>
      </c>
      <c r="C21" s="65">
        <v>4</v>
      </c>
      <c r="D21" s="66">
        <v>1</v>
      </c>
      <c r="E21" s="67">
        <f>IF(C21="","",(VLOOKUP($B$21:$B$30,Supplies_list!$C$8:$G$64,5,FALSE)))</f>
        <v>3.3</v>
      </c>
      <c r="F21" s="67">
        <f>IF(C21="","",(C21*D21*E21))</f>
        <v>13.2</v>
      </c>
    </row>
    <row r="22" spans="2:6" x14ac:dyDescent="0.25">
      <c r="B22" s="64" t="s">
        <v>798</v>
      </c>
      <c r="C22" s="65">
        <v>4</v>
      </c>
      <c r="D22" s="66">
        <v>1</v>
      </c>
      <c r="E22" s="67">
        <f>IF(C22="","",(VLOOKUP($B$21:$B$30,Supplies_list!$C$8:$G$64,5,FALSE)))</f>
        <v>3.4980000000000002</v>
      </c>
      <c r="F22" s="67">
        <f t="shared" ref="F22:F30" si="2">IF(C22="","",(C22*D22*E22))</f>
        <v>13.992000000000001</v>
      </c>
    </row>
    <row r="23" spans="2:6" x14ac:dyDescent="0.25">
      <c r="B23" s="64" t="s">
        <v>301</v>
      </c>
      <c r="C23" s="65">
        <v>1</v>
      </c>
      <c r="D23" s="66">
        <v>1</v>
      </c>
      <c r="E23" s="67">
        <f>IF(C23="","",(VLOOKUP($B$21:$B$30,Supplies_list!$C$8:$G$64,5,FALSE)))</f>
        <v>4.4000000000000004</v>
      </c>
      <c r="F23" s="67">
        <f t="shared" si="2"/>
        <v>4.4000000000000004</v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31.591999999999999</v>
      </c>
    </row>
    <row r="35" spans="2:5" ht="15.75" x14ac:dyDescent="0.25">
      <c r="B35" s="236" t="s">
        <v>163</v>
      </c>
      <c r="C35" s="236"/>
      <c r="D35" s="236"/>
      <c r="E35" s="236"/>
    </row>
    <row r="36" spans="2:5" x14ac:dyDescent="0.25">
      <c r="B36" s="184" t="s">
        <v>0</v>
      </c>
      <c r="C36" s="184" t="s">
        <v>1</v>
      </c>
      <c r="D36" s="184" t="s">
        <v>159</v>
      </c>
      <c r="E36" s="184" t="s">
        <v>160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32.480000000000004</v>
      </c>
    </row>
    <row r="51" spans="2:3" x14ac:dyDescent="0.25">
      <c r="B51" s="72" t="s">
        <v>147</v>
      </c>
      <c r="C51" s="73">
        <f>F31</f>
        <v>31.591999999999999</v>
      </c>
    </row>
    <row r="52" spans="2:3" x14ac:dyDescent="0.25">
      <c r="B52" s="72" t="s">
        <v>596</v>
      </c>
      <c r="C52" s="73">
        <f>E47</f>
        <v>0</v>
      </c>
    </row>
    <row r="53" spans="2:3" x14ac:dyDescent="0.25">
      <c r="B53" s="186" t="s">
        <v>8</v>
      </c>
      <c r="C53" s="198">
        <f>SUM(C50:C52)</f>
        <v>64.072000000000003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Drugs_list!$C$9:$C$184</xm:f>
          </x14:formula1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1:K53"/>
  <sheetViews>
    <sheetView showGridLines="0" zoomScaleNormal="100" workbookViewId="0">
      <selection activeCell="F14" sqref="F14 J14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954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74" t="s">
        <v>526</v>
      </c>
      <c r="C6" s="65">
        <v>1</v>
      </c>
      <c r="D6" s="65">
        <v>1</v>
      </c>
      <c r="E6" s="76">
        <v>1</v>
      </c>
      <c r="F6" s="66">
        <v>1</v>
      </c>
      <c r="G6" s="67">
        <f>C6*D6*E6*F6</f>
        <v>1</v>
      </c>
      <c r="H6" s="68">
        <f>IF(G6=0,"",(VLOOKUP($B$6:$B$15,Drugs_list!$C$9:$K$184,7,FALSE)))</f>
        <v>11.6</v>
      </c>
      <c r="I6" s="68">
        <f>IF(G6=0,"",(G6*H6))</f>
        <v>11.6</v>
      </c>
      <c r="K6" s="63" t="e">
        <f>VLOOKUP($B$6:$B$15,Drugs_list!$C$9:$K$172,9,FALSE)</f>
        <v>#N/A</v>
      </c>
    </row>
    <row r="7" spans="2:11" x14ac:dyDescent="0.25">
      <c r="B7" s="64" t="s">
        <v>427</v>
      </c>
      <c r="C7" s="65">
        <v>1</v>
      </c>
      <c r="D7" s="65">
        <v>1</v>
      </c>
      <c r="E7" s="76">
        <v>1</v>
      </c>
      <c r="F7" s="66">
        <v>1</v>
      </c>
      <c r="G7" s="67">
        <f t="shared" ref="G7:G15" si="0">C7*D7*E7*F7</f>
        <v>1</v>
      </c>
      <c r="H7" s="68">
        <f>IF(G7=0,"",(VLOOKUP($B$6:$B$15,Drugs_list!$C$9:$K$172,7,FALSE)))</f>
        <v>1.6497777777777778</v>
      </c>
      <c r="I7" s="68">
        <f t="shared" ref="I7:I15" si="1">IF(G7=0,"",(G7*H7))</f>
        <v>1.6497777777777778</v>
      </c>
      <c r="K7" s="63" t="str">
        <f>VLOOKUP($B$6:$B$15,Drugs_list!$C$9:$K$172,9,FALSE)</f>
        <v>5ml</v>
      </c>
    </row>
    <row r="8" spans="2:11" x14ac:dyDescent="0.25">
      <c r="B8" s="64"/>
      <c r="C8" s="65"/>
      <c r="D8" s="65"/>
      <c r="E8" s="76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6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6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6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13.249777777777778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 t="s">
        <v>483</v>
      </c>
      <c r="C21" s="65">
        <v>2</v>
      </c>
      <c r="D21" s="66">
        <v>1</v>
      </c>
      <c r="E21" s="67">
        <f>IF(C21="","",(VLOOKUP($B$21:$B$30,Supplies_list!$C$8:$G$64,5,FALSE)))</f>
        <v>4.4219999999999997</v>
      </c>
      <c r="F21" s="67">
        <f>IF(C21="","",(C21*D21*E21))</f>
        <v>8.8439999999999994</v>
      </c>
    </row>
    <row r="22" spans="2:6" x14ac:dyDescent="0.25">
      <c r="B22" s="64" t="s">
        <v>148</v>
      </c>
      <c r="C22" s="65">
        <v>1</v>
      </c>
      <c r="D22" s="66">
        <v>1</v>
      </c>
      <c r="E22" s="67">
        <f>IF(C22="","",(VLOOKUP($B$21:$B$30,Supplies_list!$C$8:$G$64,5,FALSE)))</f>
        <v>3.3</v>
      </c>
      <c r="F22" s="67">
        <f t="shared" ref="F22:F30" si="2">IF(C22="","",(C22*D22*E22))</f>
        <v>3.3</v>
      </c>
    </row>
    <row r="23" spans="2:6" x14ac:dyDescent="0.25">
      <c r="B23" s="64" t="s">
        <v>301</v>
      </c>
      <c r="C23" s="65">
        <v>1</v>
      </c>
      <c r="D23" s="66">
        <v>1</v>
      </c>
      <c r="E23" s="67">
        <f>IF(C23="","",(VLOOKUP($B$21:$B$30,Supplies_list!$C$8:$G$64,5,FALSE)))</f>
        <v>4.4000000000000004</v>
      </c>
      <c r="F23" s="67">
        <f t="shared" si="2"/>
        <v>4.4000000000000004</v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16.543999999999997</v>
      </c>
    </row>
    <row r="35" spans="2:5" ht="15.75" x14ac:dyDescent="0.25">
      <c r="B35" s="236" t="s">
        <v>163</v>
      </c>
      <c r="C35" s="236"/>
      <c r="D35" s="236"/>
      <c r="E35" s="236"/>
    </row>
    <row r="36" spans="2:5" x14ac:dyDescent="0.25">
      <c r="B36" s="184" t="s">
        <v>0</v>
      </c>
      <c r="C36" s="184" t="s">
        <v>1</v>
      </c>
      <c r="D36" s="184" t="s">
        <v>159</v>
      </c>
      <c r="E36" s="184" t="s">
        <v>160</v>
      </c>
    </row>
    <row r="37" spans="2:5" x14ac:dyDescent="0.25">
      <c r="B37" s="64" t="s">
        <v>210</v>
      </c>
      <c r="C37" s="65">
        <v>1</v>
      </c>
      <c r="D37" s="67">
        <f>IF(B37="","",(VLOOKUP($B$37:$B$46,Lab_tests!$H$6:$I$47,2,FALSE)))</f>
        <v>5</v>
      </c>
      <c r="E37" s="67">
        <f>IF(C37=0,"",(C37*D37))</f>
        <v>5</v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5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13.249777777777778</v>
      </c>
    </row>
    <row r="51" spans="2:3" x14ac:dyDescent="0.25">
      <c r="B51" s="72" t="s">
        <v>147</v>
      </c>
      <c r="C51" s="73">
        <f>F31</f>
        <v>16.543999999999997</v>
      </c>
    </row>
    <row r="52" spans="2:3" x14ac:dyDescent="0.25">
      <c r="B52" s="72" t="s">
        <v>596</v>
      </c>
      <c r="C52" s="73">
        <f>E47</f>
        <v>5</v>
      </c>
    </row>
    <row r="53" spans="2:3" x14ac:dyDescent="0.25">
      <c r="B53" s="186" t="s">
        <v>8</v>
      </c>
      <c r="C53" s="198">
        <f>SUM(C50:C52)</f>
        <v>34.793777777777777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Drugs_list!$C$9:$C$184</xm:f>
          </x14:formula1>
          <xm:sqref>B6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B7:B15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1:K53"/>
  <sheetViews>
    <sheetView showGridLines="0" zoomScaleNormal="100" workbookViewId="0">
      <selection activeCell="F14" sqref="F14 J14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532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74" t="s">
        <v>20</v>
      </c>
      <c r="C6" s="65">
        <v>2</v>
      </c>
      <c r="D6" s="65">
        <v>2</v>
      </c>
      <c r="E6" s="76">
        <v>1</v>
      </c>
      <c r="F6" s="66">
        <v>1</v>
      </c>
      <c r="G6" s="67">
        <f>C6*D6*E6*F6</f>
        <v>4</v>
      </c>
      <c r="H6" s="68">
        <f>IF(G6=0,"",(VLOOKUP($B$6:$B$15,Drugs_list!$C$9:$K$184,7,FALSE)))</f>
        <v>0.52200000000000002</v>
      </c>
      <c r="I6" s="68">
        <f>IF(G6=0,"",(G6*H6))</f>
        <v>2.0880000000000001</v>
      </c>
      <c r="K6" s="63" t="str">
        <f>VLOOKUP($B$6:$B$15,Drugs_list!$C$9:$K$172,9,FALSE)</f>
        <v>1tab</v>
      </c>
    </row>
    <row r="7" spans="2:11" x14ac:dyDescent="0.25">
      <c r="B7" s="64" t="s">
        <v>146</v>
      </c>
      <c r="C7" s="65">
        <v>2</v>
      </c>
      <c r="D7" s="65">
        <v>2</v>
      </c>
      <c r="E7" s="76">
        <v>0.5</v>
      </c>
      <c r="F7" s="66">
        <v>1</v>
      </c>
      <c r="G7" s="67">
        <f t="shared" ref="G7:G15" si="0">C7*D7*E7*F7</f>
        <v>2</v>
      </c>
      <c r="H7" s="68">
        <f>IF(G7=0,"",(VLOOKUP($B$6:$B$15,Drugs_list!$C$9:$K$172,7,FALSE)))</f>
        <v>0.92800000000000005</v>
      </c>
      <c r="I7" s="68">
        <f t="shared" ref="I7:I15" si="1">IF(G7=0,"",(G7*H7))</f>
        <v>1.8560000000000001</v>
      </c>
      <c r="K7" s="63" t="str">
        <f>VLOOKUP($B$6:$B$15,Drugs_list!$C$9:$K$172,9,FALSE)</f>
        <v>1tab</v>
      </c>
    </row>
    <row r="8" spans="2:11" x14ac:dyDescent="0.25">
      <c r="B8" s="64"/>
      <c r="C8" s="65"/>
      <c r="D8" s="65"/>
      <c r="E8" s="76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6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6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6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3.944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6" t="s">
        <v>163</v>
      </c>
      <c r="C35" s="236"/>
      <c r="D35" s="236"/>
      <c r="E35" s="236"/>
    </row>
    <row r="36" spans="2:5" x14ac:dyDescent="0.25">
      <c r="B36" s="184" t="s">
        <v>0</v>
      </c>
      <c r="C36" s="184" t="s">
        <v>1</v>
      </c>
      <c r="D36" s="184" t="s">
        <v>159</v>
      </c>
      <c r="E36" s="184" t="s">
        <v>160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3.944</v>
      </c>
    </row>
    <row r="51" spans="2:3" x14ac:dyDescent="0.25">
      <c r="B51" s="72" t="s">
        <v>147</v>
      </c>
      <c r="C51" s="73">
        <f>F31</f>
        <v>0</v>
      </c>
    </row>
    <row r="52" spans="2:3" x14ac:dyDescent="0.25">
      <c r="B52" s="72" t="s">
        <v>596</v>
      </c>
      <c r="C52" s="73">
        <f>E47</f>
        <v>0</v>
      </c>
    </row>
    <row r="53" spans="2:3" x14ac:dyDescent="0.25">
      <c r="B53" s="186" t="s">
        <v>8</v>
      </c>
      <c r="C53" s="198">
        <f>SUM(C50:C52)</f>
        <v>3.944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Drugs_list!$C$9:$C$184</xm:f>
          </x14:formula1>
          <xm:sqref>B6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1:K53"/>
  <sheetViews>
    <sheetView showGridLines="0" zoomScaleNormal="100" workbookViewId="0">
      <selection activeCell="F14" sqref="F14 J14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533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74" t="s">
        <v>20</v>
      </c>
      <c r="C6" s="65">
        <v>2</v>
      </c>
      <c r="D6" s="65">
        <v>2</v>
      </c>
      <c r="E6" s="76">
        <v>1</v>
      </c>
      <c r="F6" s="66">
        <v>1</v>
      </c>
      <c r="G6" s="67">
        <f>C6*D6*E6*F6</f>
        <v>4</v>
      </c>
      <c r="H6" s="68">
        <f>IF(G6=0,"",(VLOOKUP($B$6:$B$15,Drugs_list!$C$9:$K$184,7,FALSE)))</f>
        <v>0.52200000000000002</v>
      </c>
      <c r="I6" s="68">
        <f>IF(G6=0,"",(G6*H6))</f>
        <v>2.0880000000000001</v>
      </c>
      <c r="K6" s="63" t="str">
        <f>VLOOKUP($B$6:$B$15,Drugs_list!$C$9:$K$172,9,FALSE)</f>
        <v>1tab</v>
      </c>
    </row>
    <row r="7" spans="2:11" x14ac:dyDescent="0.25">
      <c r="B7" s="64" t="s">
        <v>146</v>
      </c>
      <c r="C7" s="65">
        <v>2</v>
      </c>
      <c r="D7" s="65">
        <v>2</v>
      </c>
      <c r="E7" s="76">
        <v>0.5</v>
      </c>
      <c r="F7" s="66">
        <v>1</v>
      </c>
      <c r="G7" s="67">
        <f t="shared" ref="G7:G15" si="0">C7*D7*E7*F7</f>
        <v>2</v>
      </c>
      <c r="H7" s="68">
        <f>IF(G7=0,"",(VLOOKUP($B$6:$B$15,Drugs_list!$C$9:$K$172,7,FALSE)))</f>
        <v>0.92800000000000005</v>
      </c>
      <c r="I7" s="68">
        <f t="shared" ref="I7:I15" si="1">IF(G7=0,"",(G7*H7))</f>
        <v>1.8560000000000001</v>
      </c>
      <c r="K7" s="63" t="str">
        <f>VLOOKUP($B$6:$B$15,Drugs_list!$C$9:$K$172,9,FALSE)</f>
        <v>1tab</v>
      </c>
    </row>
    <row r="8" spans="2:11" x14ac:dyDescent="0.25">
      <c r="B8" s="64"/>
      <c r="C8" s="65"/>
      <c r="D8" s="65"/>
      <c r="E8" s="76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6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6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6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3.944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6" t="s">
        <v>163</v>
      </c>
      <c r="C35" s="236"/>
      <c r="D35" s="236"/>
      <c r="E35" s="236"/>
    </row>
    <row r="36" spans="2:5" x14ac:dyDescent="0.25">
      <c r="B36" s="184" t="s">
        <v>0</v>
      </c>
      <c r="C36" s="184" t="s">
        <v>1</v>
      </c>
      <c r="D36" s="184" t="s">
        <v>159</v>
      </c>
      <c r="E36" s="184" t="s">
        <v>160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3.944</v>
      </c>
    </row>
    <row r="51" spans="2:3" x14ac:dyDescent="0.25">
      <c r="B51" s="72" t="s">
        <v>147</v>
      </c>
      <c r="C51" s="73">
        <f>F31</f>
        <v>0</v>
      </c>
    </row>
    <row r="52" spans="2:3" x14ac:dyDescent="0.25">
      <c r="B52" s="72" t="s">
        <v>596</v>
      </c>
      <c r="C52" s="73">
        <f>E47</f>
        <v>0</v>
      </c>
    </row>
    <row r="53" spans="2:3" x14ac:dyDescent="0.25">
      <c r="B53" s="186" t="s">
        <v>8</v>
      </c>
      <c r="C53" s="198">
        <f>SUM(C50:C52)</f>
        <v>3.944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Drugs_list!$C$9:$C$184</xm:f>
          </x14:formula1>
          <xm:sqref>B6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B7:B15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:K53"/>
  <sheetViews>
    <sheetView showGridLines="0" zoomScaleNormal="100" workbookViewId="0">
      <selection activeCell="V30" sqref="V3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534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74" t="s">
        <v>318</v>
      </c>
      <c r="C6" s="65">
        <v>5</v>
      </c>
      <c r="D6" s="65">
        <v>4</v>
      </c>
      <c r="E6" s="76">
        <v>1</v>
      </c>
      <c r="F6" s="66">
        <v>1</v>
      </c>
      <c r="G6" s="67">
        <f>C6*D6*E6*F6</f>
        <v>20</v>
      </c>
      <c r="H6" s="68">
        <f>IF(G6=0,"",(VLOOKUP($B$6:$B$15,Drugs_list!$C$9:$K$184,7,FALSE)))</f>
        <v>2.9</v>
      </c>
      <c r="I6" s="68">
        <f>IF(G6=0,"",(G6*H6))</f>
        <v>58</v>
      </c>
      <c r="K6" s="63" t="str">
        <f>VLOOKUP($B$6:$B$15,Drugs_list!$C$9:$K$172,9,FALSE)</f>
        <v>1tab</v>
      </c>
    </row>
    <row r="7" spans="2:11" x14ac:dyDescent="0.25">
      <c r="B7" s="64"/>
      <c r="C7" s="65"/>
      <c r="D7" s="65"/>
      <c r="E7" s="76"/>
      <c r="F7" s="66"/>
      <c r="G7" s="67">
        <f t="shared" ref="G7:G15" si="0">C7*D7*E7*F7</f>
        <v>0</v>
      </c>
      <c r="H7" s="68" t="str">
        <f>IF(G7=0,"",(VLOOKUP($B$6:$B$15,Drugs_list!$C$9:$K$172,7,FALSE)))</f>
        <v/>
      </c>
      <c r="I7" s="68" t="str">
        <f t="shared" ref="I7:I15" si="1">IF(G7=0,"",(G7*H7))</f>
        <v/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76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6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6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6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58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6" t="s">
        <v>163</v>
      </c>
      <c r="C35" s="236"/>
      <c r="D35" s="236"/>
      <c r="E35" s="236"/>
    </row>
    <row r="36" spans="2:5" x14ac:dyDescent="0.25">
      <c r="B36" s="184" t="s">
        <v>0</v>
      </c>
      <c r="C36" s="184" t="s">
        <v>1</v>
      </c>
      <c r="D36" s="184" t="s">
        <v>159</v>
      </c>
      <c r="E36" s="184" t="s">
        <v>160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58</v>
      </c>
    </row>
    <row r="51" spans="2:3" x14ac:dyDescent="0.25">
      <c r="B51" s="72" t="s">
        <v>147</v>
      </c>
      <c r="C51" s="73">
        <f>F31</f>
        <v>0</v>
      </c>
    </row>
    <row r="52" spans="2:3" x14ac:dyDescent="0.25">
      <c r="B52" s="72" t="s">
        <v>596</v>
      </c>
      <c r="C52" s="73">
        <f>E47</f>
        <v>0</v>
      </c>
    </row>
    <row r="53" spans="2:3" x14ac:dyDescent="0.25">
      <c r="B53" s="186" t="s">
        <v>8</v>
      </c>
      <c r="C53" s="198">
        <f>SUM(C50:C52)</f>
        <v>58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Drugs_list!$C$9:$C$184</xm:f>
          </x14:formula1>
          <xm:sqref>B6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1:K53"/>
  <sheetViews>
    <sheetView showGridLines="0" zoomScaleNormal="100" workbookViewId="0">
      <selection activeCell="F14" sqref="F14 J14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535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74" t="s">
        <v>448</v>
      </c>
      <c r="C6" s="65">
        <v>5</v>
      </c>
      <c r="D6" s="65">
        <v>2</v>
      </c>
      <c r="E6" s="76">
        <v>1</v>
      </c>
      <c r="F6" s="66">
        <v>0.5</v>
      </c>
      <c r="G6" s="67">
        <f>C6*D6*E6*F6</f>
        <v>5</v>
      </c>
      <c r="H6" s="68">
        <f>IF(G6=0,"",(VLOOKUP($B$6:$B$15,Drugs_list!$C$9:$K$184,7,FALSE)))</f>
        <v>1.1599999999999999</v>
      </c>
      <c r="I6" s="68">
        <f>IF(G6=0,"",(G6*H6))</f>
        <v>5.8</v>
      </c>
      <c r="K6" s="63" t="str">
        <f>VLOOKUP($B$6:$B$15,Drugs_list!$C$9:$K$172,9,FALSE)</f>
        <v>1cap</v>
      </c>
    </row>
    <row r="7" spans="2:11" x14ac:dyDescent="0.25">
      <c r="B7" s="64" t="s">
        <v>405</v>
      </c>
      <c r="C7" s="65">
        <v>5</v>
      </c>
      <c r="D7" s="65">
        <v>3</v>
      </c>
      <c r="E7" s="76">
        <v>1</v>
      </c>
      <c r="F7" s="66">
        <v>0.5</v>
      </c>
      <c r="G7" s="67">
        <f t="shared" ref="G7:G15" si="0">C7*D7*E7*F7</f>
        <v>7.5</v>
      </c>
      <c r="H7" s="68">
        <f>IF(G7=0,"",(VLOOKUP($B$6:$B$15,Drugs_list!$C$9:$K$172,7,FALSE)))</f>
        <v>0.81199999999999994</v>
      </c>
      <c r="I7" s="68">
        <f t="shared" ref="I7:I15" si="1">IF(G7=0,"",(G7*H7))</f>
        <v>6.09</v>
      </c>
      <c r="K7" s="63" t="str">
        <f>VLOOKUP($B$6:$B$15,Drugs_list!$C$9:$K$172,9,FALSE)</f>
        <v>1tab</v>
      </c>
    </row>
    <row r="8" spans="2:11" x14ac:dyDescent="0.25">
      <c r="B8" s="64"/>
      <c r="C8" s="65"/>
      <c r="D8" s="65"/>
      <c r="E8" s="76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6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6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6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11.89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6" t="s">
        <v>163</v>
      </c>
      <c r="C35" s="236"/>
      <c r="D35" s="236"/>
      <c r="E35" s="236"/>
    </row>
    <row r="36" spans="2:5" x14ac:dyDescent="0.25">
      <c r="B36" s="184" t="s">
        <v>0</v>
      </c>
      <c r="C36" s="184" t="s">
        <v>1</v>
      </c>
      <c r="D36" s="184" t="s">
        <v>159</v>
      </c>
      <c r="E36" s="184" t="s">
        <v>160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11.89</v>
      </c>
    </row>
    <row r="51" spans="2:3" x14ac:dyDescent="0.25">
      <c r="B51" s="72" t="s">
        <v>147</v>
      </c>
      <c r="C51" s="73">
        <f>F31</f>
        <v>0</v>
      </c>
    </row>
    <row r="52" spans="2:3" x14ac:dyDescent="0.25">
      <c r="B52" s="72" t="s">
        <v>596</v>
      </c>
      <c r="C52" s="73">
        <f>E47</f>
        <v>0</v>
      </c>
    </row>
    <row r="53" spans="2:3" x14ac:dyDescent="0.25">
      <c r="B53" s="186" t="s">
        <v>8</v>
      </c>
      <c r="C53" s="198">
        <f>SUM(C50:C52)</f>
        <v>11.89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Drugs_list!$C$9:$C$184</xm:f>
          </x14:formula1>
          <xm:sqref>B6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B7:B15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M35"/>
  <sheetViews>
    <sheetView showGridLines="0" zoomScaleNormal="100" workbookViewId="0">
      <selection activeCell="D5" sqref="D5:D27"/>
    </sheetView>
  </sheetViews>
  <sheetFormatPr defaultRowHeight="18.75" x14ac:dyDescent="0.3"/>
  <cols>
    <col min="1" max="1" width="9.140625" style="43"/>
    <col min="2" max="2" width="74.140625" style="43" bestFit="1" customWidth="1"/>
    <col min="3" max="3" width="8" style="44" bestFit="1" customWidth="1"/>
    <col min="4" max="4" width="9.42578125" style="44" bestFit="1" customWidth="1"/>
    <col min="5" max="5" width="10.85546875" style="43" customWidth="1"/>
    <col min="6" max="6" width="17.42578125" style="43" customWidth="1"/>
    <col min="7" max="7" width="11.42578125" style="43" customWidth="1"/>
    <col min="8" max="8" width="12" style="43" customWidth="1"/>
    <col min="9" max="9" width="16.28515625" style="43" customWidth="1"/>
    <col min="10" max="10" width="9.42578125" style="43" bestFit="1" customWidth="1"/>
    <col min="11" max="12" width="9.140625" style="43"/>
    <col min="13" max="13" width="9.42578125" style="43" bestFit="1" customWidth="1"/>
    <col min="14" max="16384" width="9.140625" style="43"/>
  </cols>
  <sheetData>
    <row r="1" spans="2:13" x14ac:dyDescent="0.3">
      <c r="L1" s="45" t="s">
        <v>633</v>
      </c>
      <c r="M1" s="45">
        <v>103</v>
      </c>
    </row>
    <row r="2" spans="2:13" x14ac:dyDescent="0.3">
      <c r="B2" s="217" t="s">
        <v>634</v>
      </c>
      <c r="C2" s="218"/>
      <c r="D2" s="218"/>
      <c r="E2" s="218"/>
      <c r="F2" s="218"/>
      <c r="G2" s="218"/>
      <c r="H2" s="218"/>
      <c r="I2" s="226"/>
    </row>
    <row r="3" spans="2:13" x14ac:dyDescent="0.3">
      <c r="B3" s="224" t="s">
        <v>164</v>
      </c>
      <c r="C3" s="152" t="s">
        <v>632</v>
      </c>
      <c r="D3" s="152" t="s">
        <v>629</v>
      </c>
      <c r="E3" s="218" t="s">
        <v>629</v>
      </c>
      <c r="F3" s="218"/>
      <c r="G3" s="218"/>
      <c r="H3" s="218"/>
      <c r="I3" s="226"/>
    </row>
    <row r="4" spans="2:13" ht="37.5" x14ac:dyDescent="0.3">
      <c r="B4" s="225"/>
      <c r="C4" s="227" t="s">
        <v>630</v>
      </c>
      <c r="D4" s="227"/>
      <c r="E4" s="183" t="s">
        <v>565</v>
      </c>
      <c r="F4" s="152" t="s">
        <v>631</v>
      </c>
      <c r="G4" s="152" t="s">
        <v>566</v>
      </c>
      <c r="H4" s="152" t="s">
        <v>567</v>
      </c>
      <c r="I4" s="152" t="s">
        <v>568</v>
      </c>
      <c r="J4" s="46"/>
    </row>
    <row r="5" spans="2:13" x14ac:dyDescent="0.3">
      <c r="B5" s="47" t="s">
        <v>713</v>
      </c>
      <c r="C5" s="48">
        <f t="shared" ref="C5:C31" si="0">D5/ex_usd</f>
        <v>11.073633256642212</v>
      </c>
      <c r="D5" s="49">
        <f>SUM(E5:I5)</f>
        <v>1140.5842254341478</v>
      </c>
      <c r="E5" s="50">
        <f>HR_Intervention!AA5</f>
        <v>279.01743750000003</v>
      </c>
      <c r="F5" s="50">
        <f>'1.ANC'!C53</f>
        <v>505.85560000000009</v>
      </c>
      <c r="G5" s="50">
        <f t="shared" ref="G5:G31" si="1">E5*indirect_sal</f>
        <v>188.27334702345726</v>
      </c>
      <c r="H5" s="50">
        <f>(E5+G5)*Operating_Exp!$D$17</f>
        <v>63.748365871222525</v>
      </c>
      <c r="I5" s="50">
        <f>SUM(E5:H5)*10%</f>
        <v>103.68947503946799</v>
      </c>
      <c r="J5" s="51"/>
    </row>
    <row r="6" spans="2:13" hidden="1" x14ac:dyDescent="0.3">
      <c r="B6" s="47" t="s">
        <v>32</v>
      </c>
      <c r="C6" s="48">
        <f t="shared" si="0"/>
        <v>11.880432159624773</v>
      </c>
      <c r="D6" s="49">
        <f t="shared" ref="D6:D31" si="2">SUM(E6:I6)</f>
        <v>1223.6845124413517</v>
      </c>
      <c r="E6" s="50">
        <f>HR_Intervention!AA6</f>
        <v>485.00953125000001</v>
      </c>
      <c r="F6" s="50">
        <f>'2.Delivery'!C53</f>
        <v>189.34744444444442</v>
      </c>
      <c r="G6" s="50">
        <f t="shared" si="1"/>
        <v>327.27118636345295</v>
      </c>
      <c r="H6" s="50">
        <f>(E6+G6)*Operating_Exp!$D$17</f>
        <v>110.81230379787689</v>
      </c>
      <c r="I6" s="50">
        <f t="shared" ref="I6:I31" si="3">SUM(E6:H6)*10%</f>
        <v>111.24404658557742</v>
      </c>
    </row>
    <row r="7" spans="2:13" x14ac:dyDescent="0.3">
      <c r="B7" s="47" t="s">
        <v>714</v>
      </c>
      <c r="C7" s="48">
        <f t="shared" si="0"/>
        <v>5.7069914535161512</v>
      </c>
      <c r="D7" s="49">
        <f t="shared" si="2"/>
        <v>587.82011971216355</v>
      </c>
      <c r="E7" s="50">
        <f>HR_Intervention!AA8</f>
        <v>184.63115625</v>
      </c>
      <c r="F7" s="50">
        <f>'3.Post_partum'!C53</f>
        <v>182.98320000000001</v>
      </c>
      <c r="G7" s="50">
        <f t="shared" si="1"/>
        <v>124.58406206959164</v>
      </c>
      <c r="H7" s="50">
        <f>(E7+G7)*Operating_Exp!$D$17</f>
        <v>42.183508691466109</v>
      </c>
      <c r="I7" s="50">
        <f t="shared" si="3"/>
        <v>53.438192701105777</v>
      </c>
    </row>
    <row r="8" spans="2:13" hidden="1" x14ac:dyDescent="0.3">
      <c r="B8" s="47" t="s">
        <v>515</v>
      </c>
      <c r="C8" s="48">
        <f t="shared" si="0"/>
        <v>3.5106296554681617</v>
      </c>
      <c r="D8" s="49">
        <f t="shared" si="2"/>
        <v>361.59485451322064</v>
      </c>
      <c r="E8" s="50">
        <f>HR_Intervention!AA9</f>
        <v>117.62465625</v>
      </c>
      <c r="F8" s="50">
        <f>'4.Newborn_care'!C53</f>
        <v>104.85379999999999</v>
      </c>
      <c r="G8" s="50">
        <f t="shared" si="1"/>
        <v>79.36990577755958</v>
      </c>
      <c r="H8" s="50">
        <f>(E8+G8)*Operating_Exp!$D$17</f>
        <v>26.874232984459191</v>
      </c>
      <c r="I8" s="50">
        <f t="shared" si="3"/>
        <v>32.872259501201874</v>
      </c>
    </row>
    <row r="9" spans="2:13" x14ac:dyDescent="0.3">
      <c r="B9" s="47" t="s">
        <v>571</v>
      </c>
      <c r="C9" s="48">
        <f t="shared" si="0"/>
        <v>3.8218681780362469</v>
      </c>
      <c r="D9" s="49">
        <f t="shared" si="2"/>
        <v>393.65242233773341</v>
      </c>
      <c r="E9" s="50">
        <f>HR_Intervention!AA12</f>
        <v>160.60228125</v>
      </c>
      <c r="F9" s="50">
        <f>'5.Child_pneumonia'!C53</f>
        <v>52.199999999999996</v>
      </c>
      <c r="G9" s="50">
        <f t="shared" si="1"/>
        <v>108.37003343398611</v>
      </c>
      <c r="H9" s="50">
        <f>(E9+G9)*Operating_Exp!$D$17</f>
        <v>36.69352380486248</v>
      </c>
      <c r="I9" s="50">
        <f t="shared" si="3"/>
        <v>35.78658384888486</v>
      </c>
    </row>
    <row r="10" spans="2:13" x14ac:dyDescent="0.3">
      <c r="B10" s="47" t="s">
        <v>572</v>
      </c>
      <c r="C10" s="48">
        <f t="shared" si="0"/>
        <v>1.7551257443785553</v>
      </c>
      <c r="D10" s="49">
        <f t="shared" si="2"/>
        <v>180.7779516709912</v>
      </c>
      <c r="E10" s="50">
        <f>HR_Intervention!AA13</f>
        <v>84.749156249999999</v>
      </c>
      <c r="F10" s="50">
        <f>'6.Child_Wheeze'!C53</f>
        <v>3.0449999999999999</v>
      </c>
      <c r="G10" s="50">
        <f t="shared" si="1"/>
        <v>57.186416188061543</v>
      </c>
      <c r="H10" s="50">
        <f>(E10+G10)*Operating_Exp!$D$17</f>
        <v>19.363019990112281</v>
      </c>
      <c r="I10" s="50">
        <f t="shared" si="3"/>
        <v>16.434359242817383</v>
      </c>
    </row>
    <row r="11" spans="2:13" x14ac:dyDescent="0.3">
      <c r="B11" s="47" t="s">
        <v>573</v>
      </c>
      <c r="C11" s="48">
        <f t="shared" si="0"/>
        <v>2.307955841465934</v>
      </c>
      <c r="D11" s="49">
        <f t="shared" si="2"/>
        <v>237.71945167099122</v>
      </c>
      <c r="E11" s="50">
        <f>HR_Intervention!AA14</f>
        <v>84.749156249999999</v>
      </c>
      <c r="F11" s="50">
        <f>'7.Child_ear'!C53</f>
        <v>54.809999999999995</v>
      </c>
      <c r="G11" s="50">
        <f t="shared" si="1"/>
        <v>57.186416188061543</v>
      </c>
      <c r="H11" s="50">
        <f>(E11+G11)*Operating_Exp!$D$17</f>
        <v>19.363019990112281</v>
      </c>
      <c r="I11" s="50">
        <f t="shared" si="3"/>
        <v>21.610859242817384</v>
      </c>
    </row>
    <row r="12" spans="2:13" x14ac:dyDescent="0.3">
      <c r="B12" s="47" t="s">
        <v>575</v>
      </c>
      <c r="C12" s="48">
        <f t="shared" si="0"/>
        <v>1.2433288962138718</v>
      </c>
      <c r="D12" s="49">
        <f t="shared" si="2"/>
        <v>128.0628763100288</v>
      </c>
      <c r="E12" s="50">
        <f>HR_Intervention!AA16</f>
        <v>41.722124999999998</v>
      </c>
      <c r="F12" s="50">
        <f>'8.Child_diarh_nodehy'!C53</f>
        <v>37.013280000000002</v>
      </c>
      <c r="G12" s="50">
        <f t="shared" si="1"/>
        <v>28.152950543390538</v>
      </c>
      <c r="H12" s="50">
        <f>(E12+G12)*Operating_Exp!$D$17</f>
        <v>9.5324411020901856</v>
      </c>
      <c r="I12" s="50">
        <f t="shared" si="3"/>
        <v>11.642079664548072</v>
      </c>
    </row>
    <row r="13" spans="2:13" x14ac:dyDescent="0.3">
      <c r="B13" s="47" t="s">
        <v>574</v>
      </c>
      <c r="C13" s="48">
        <f t="shared" si="0"/>
        <v>1.6314682748546487</v>
      </c>
      <c r="D13" s="49">
        <f t="shared" si="2"/>
        <v>168.04123231002882</v>
      </c>
      <c r="E13" s="50">
        <f>HR_Intervention!AA17</f>
        <v>41.722124999999998</v>
      </c>
      <c r="F13" s="50">
        <f>'9.Child_diarh_some_dehyd'!C53</f>
        <v>73.357240000000004</v>
      </c>
      <c r="G13" s="50">
        <f t="shared" si="1"/>
        <v>28.152950543390538</v>
      </c>
      <c r="H13" s="50">
        <f>(E13+G13)*Operating_Exp!$D$17</f>
        <v>9.5324411020901856</v>
      </c>
      <c r="I13" s="50">
        <f t="shared" si="3"/>
        <v>15.276475664548073</v>
      </c>
    </row>
    <row r="14" spans="2:13" x14ac:dyDescent="0.3">
      <c r="B14" s="47" t="s">
        <v>576</v>
      </c>
      <c r="C14" s="48">
        <f t="shared" si="0"/>
        <v>1.9455966181649633</v>
      </c>
      <c r="D14" s="49">
        <f t="shared" si="2"/>
        <v>200.39645167099121</v>
      </c>
      <c r="E14" s="50">
        <f>HR_Intervention!AA18</f>
        <v>84.749156249999999</v>
      </c>
      <c r="F14" s="50">
        <f>'10.Child_Dys'!C53</f>
        <v>20.88</v>
      </c>
      <c r="G14" s="50">
        <f t="shared" si="1"/>
        <v>57.186416188061543</v>
      </c>
      <c r="H14" s="50">
        <f>(E14+G14)*Operating_Exp!$D$17</f>
        <v>19.363019990112281</v>
      </c>
      <c r="I14" s="50">
        <f t="shared" si="3"/>
        <v>18.217859242817383</v>
      </c>
    </row>
    <row r="15" spans="2:13" x14ac:dyDescent="0.3">
      <c r="B15" s="47" t="s">
        <v>577</v>
      </c>
      <c r="C15" s="48">
        <f t="shared" si="0"/>
        <v>1.8054267152523418</v>
      </c>
      <c r="D15" s="49">
        <f t="shared" si="2"/>
        <v>185.95895167099121</v>
      </c>
      <c r="E15" s="50">
        <f>HR_Intervention!AA20</f>
        <v>84.749156249999999</v>
      </c>
      <c r="F15" s="50">
        <f>'11.Child_Fever'!C53</f>
        <v>7.7549999999999999</v>
      </c>
      <c r="G15" s="50">
        <f t="shared" si="1"/>
        <v>57.186416188061543</v>
      </c>
      <c r="H15" s="50">
        <f>(E15+G15)*Operating_Exp!$D$17</f>
        <v>19.363019990112281</v>
      </c>
      <c r="I15" s="50">
        <f t="shared" si="3"/>
        <v>16.905359242817383</v>
      </c>
    </row>
    <row r="16" spans="2:13" hidden="1" x14ac:dyDescent="0.3">
      <c r="B16" s="47" t="s">
        <v>578</v>
      </c>
      <c r="C16" s="48">
        <f t="shared" si="0"/>
        <v>38.030858084078019</v>
      </c>
      <c r="D16" s="49">
        <f t="shared" si="2"/>
        <v>3917.1783826600363</v>
      </c>
      <c r="E16" s="50">
        <f>SUM(HR_Intervention!AA31:AA36)</f>
        <v>113.79712499999999</v>
      </c>
      <c r="F16" s="50">
        <f>'11.Immunisation'!C53</f>
        <v>3344.4871999999996</v>
      </c>
      <c r="G16" s="50">
        <f t="shared" si="1"/>
        <v>76.787192217679006</v>
      </c>
      <c r="H16" s="50">
        <f>(E16+G16)*Operating_Exp!$D$17</f>
        <v>25.999739745990755</v>
      </c>
      <c r="I16" s="50">
        <f t="shared" si="3"/>
        <v>356.10712569636695</v>
      </c>
      <c r="J16" s="51"/>
    </row>
    <row r="17" spans="2:9" x14ac:dyDescent="0.3">
      <c r="B17" s="47" t="s">
        <v>529</v>
      </c>
      <c r="C17" s="48">
        <f t="shared" si="0"/>
        <v>1.8580233595411304</v>
      </c>
      <c r="D17" s="49">
        <f t="shared" si="2"/>
        <v>191.37640603273644</v>
      </c>
      <c r="E17" s="50">
        <f>SUM(HR_Intervention!AA28:AA29)/2</f>
        <v>41.864531249999999</v>
      </c>
      <c r="F17" s="50">
        <f>'12.FP_condoms'!C53</f>
        <v>94.3</v>
      </c>
      <c r="G17" s="50">
        <f t="shared" si="1"/>
        <v>28.249042391859899</v>
      </c>
      <c r="H17" s="50">
        <f>(E17+G17)*Operating_Exp!$D$17</f>
        <v>9.5649772969914419</v>
      </c>
      <c r="I17" s="50">
        <f t="shared" si="3"/>
        <v>17.397855093885131</v>
      </c>
    </row>
    <row r="18" spans="2:9" x14ac:dyDescent="0.3">
      <c r="B18" s="47" t="s">
        <v>579</v>
      </c>
      <c r="C18" s="48">
        <f t="shared" si="0"/>
        <v>2.1161816880120492</v>
      </c>
      <c r="D18" s="49">
        <f t="shared" si="2"/>
        <v>217.96671386524108</v>
      </c>
      <c r="E18" s="50">
        <f>SUM(HR_Intervention!AA26:AA27)/2</f>
        <v>56.089171874999991</v>
      </c>
      <c r="F18" s="50">
        <f>'13.FP_Oral'!C53</f>
        <v>91.4</v>
      </c>
      <c r="G18" s="50">
        <f t="shared" si="1"/>
        <v>37.847441419069774</v>
      </c>
      <c r="H18" s="50">
        <f>(E18+G18)*Operating_Exp!$D$17</f>
        <v>12.814944765240284</v>
      </c>
      <c r="I18" s="50">
        <f t="shared" si="3"/>
        <v>19.81515580593101</v>
      </c>
    </row>
    <row r="19" spans="2:9" x14ac:dyDescent="0.3">
      <c r="B19" s="47" t="s">
        <v>580</v>
      </c>
      <c r="C19" s="48">
        <f t="shared" si="0"/>
        <v>1.824329260827583</v>
      </c>
      <c r="D19" s="49">
        <f t="shared" si="2"/>
        <v>187.90591386524105</v>
      </c>
      <c r="E19" s="50">
        <f>SUM(HR_Intervention!AA22:AA23)/2</f>
        <v>56.089171874999991</v>
      </c>
      <c r="F19" s="50">
        <f>'14.FP_Inject'!C53</f>
        <v>64.072000000000003</v>
      </c>
      <c r="G19" s="50">
        <f t="shared" si="1"/>
        <v>37.847441419069774</v>
      </c>
      <c r="H19" s="50">
        <f>(E19+G19)*Operating_Exp!$D$17</f>
        <v>12.814944765240284</v>
      </c>
      <c r="I19" s="50">
        <f t="shared" si="3"/>
        <v>17.082355805931005</v>
      </c>
    </row>
    <row r="20" spans="2:9" x14ac:dyDescent="0.3">
      <c r="B20" s="47" t="s">
        <v>581</v>
      </c>
      <c r="C20" s="48">
        <f t="shared" si="0"/>
        <v>1.6895748806052224</v>
      </c>
      <c r="D20" s="49">
        <f t="shared" si="2"/>
        <v>174.02621270233792</v>
      </c>
      <c r="E20" s="50">
        <f>SUM(HR_Intervention!AA24:AA25)/2</f>
        <v>64.842796875000005</v>
      </c>
      <c r="F20" s="50">
        <f>'15.FP_IUD'!C53</f>
        <v>34.793777777777777</v>
      </c>
      <c r="G20" s="50">
        <f t="shared" si="1"/>
        <v>43.754148512737395</v>
      </c>
      <c r="H20" s="50">
        <f>(E20+G20)*Operating_Exp!$D$17</f>
        <v>14.814924745701115</v>
      </c>
      <c r="I20" s="50">
        <f t="shared" si="3"/>
        <v>15.82056479112163</v>
      </c>
    </row>
    <row r="21" spans="2:9" x14ac:dyDescent="0.3">
      <c r="B21" s="47" t="s">
        <v>582</v>
      </c>
      <c r="C21" s="48">
        <f t="shared" si="0"/>
        <v>1.2507980075929821</v>
      </c>
      <c r="D21" s="49">
        <f t="shared" si="2"/>
        <v>128.83219478207715</v>
      </c>
      <c r="E21" s="50">
        <f>HR_Intervention!AA40</f>
        <v>59.464781250000009</v>
      </c>
      <c r="F21" s="50">
        <f>'16.ECM_Cold'!C53</f>
        <v>3.944</v>
      </c>
      <c r="G21" s="50">
        <f t="shared" si="1"/>
        <v>40.12521043942003</v>
      </c>
      <c r="H21" s="50">
        <f>(E21+G21)*Operating_Exp!$D$17</f>
        <v>13.586185385195551</v>
      </c>
      <c r="I21" s="50">
        <f t="shared" si="3"/>
        <v>11.712017707461561</v>
      </c>
    </row>
    <row r="22" spans="2:9" x14ac:dyDescent="0.3">
      <c r="B22" s="47" t="s">
        <v>583</v>
      </c>
      <c r="C22" s="48">
        <f t="shared" si="0"/>
        <v>1.2507980075929821</v>
      </c>
      <c r="D22" s="49">
        <f t="shared" si="2"/>
        <v>128.83219478207715</v>
      </c>
      <c r="E22" s="50">
        <f>HR_Intervention!AA41</f>
        <v>59.464781250000009</v>
      </c>
      <c r="F22" s="50">
        <f>'17.ECM_Brn'!C53</f>
        <v>3.944</v>
      </c>
      <c r="G22" s="50">
        <f t="shared" si="1"/>
        <v>40.12521043942003</v>
      </c>
      <c r="H22" s="50">
        <f>(E22+G22)*Operating_Exp!$D$17</f>
        <v>13.586185385195551</v>
      </c>
      <c r="I22" s="50">
        <f t="shared" si="3"/>
        <v>11.712017707461561</v>
      </c>
    </row>
    <row r="23" spans="2:9" hidden="1" x14ac:dyDescent="0.3">
      <c r="B23" s="47" t="s">
        <v>584</v>
      </c>
      <c r="C23" s="48">
        <f t="shared" si="0"/>
        <v>3.3698812179497035</v>
      </c>
      <c r="D23" s="49">
        <f t="shared" si="2"/>
        <v>347.09776544881947</v>
      </c>
      <c r="E23" s="50">
        <f>HR_Intervention!AA42</f>
        <v>135.31790625000002</v>
      </c>
      <c r="F23" s="50">
        <f>'18.ECM_Pneu'!C53</f>
        <v>58</v>
      </c>
      <c r="G23" s="50">
        <f t="shared" si="1"/>
        <v>91.30882768534461</v>
      </c>
      <c r="H23" s="50">
        <f>(E23+G23)*Operating_Exp!$D$17</f>
        <v>30.916689199945758</v>
      </c>
      <c r="I23" s="50">
        <f t="shared" si="3"/>
        <v>31.554342313529045</v>
      </c>
    </row>
    <row r="24" spans="2:9" x14ac:dyDescent="0.3">
      <c r="B24" s="47" t="s">
        <v>585</v>
      </c>
      <c r="C24" s="48">
        <f t="shared" si="0"/>
        <v>1.8495869094270994</v>
      </c>
      <c r="D24" s="49">
        <f t="shared" si="2"/>
        <v>190.50745167099123</v>
      </c>
      <c r="E24" s="50">
        <f>(HR_Intervention!AA45*50%)+(HR_Intervention!AA47*50%)</f>
        <v>84.749156249999999</v>
      </c>
      <c r="F24" s="50">
        <f>'19.ECM_GI'!C53</f>
        <v>11.89</v>
      </c>
      <c r="G24" s="50">
        <f t="shared" si="1"/>
        <v>57.186416188061543</v>
      </c>
      <c r="H24" s="50">
        <f>(E24+G24)*Operating_Exp!$D$17</f>
        <v>19.363019990112281</v>
      </c>
      <c r="I24" s="50">
        <f t="shared" si="3"/>
        <v>17.318859242817386</v>
      </c>
    </row>
    <row r="25" spans="2:9" hidden="1" x14ac:dyDescent="0.3">
      <c r="B25" s="47" t="s">
        <v>586</v>
      </c>
      <c r="C25" s="48">
        <f t="shared" si="0"/>
        <v>1.6936715598712841</v>
      </c>
      <c r="D25" s="49">
        <f t="shared" si="2"/>
        <v>174.44817066674227</v>
      </c>
      <c r="E25" s="50">
        <f>HR_Intervention!AA49</f>
        <v>75.853125000000006</v>
      </c>
      <c r="F25" s="50">
        <f>'20.ECM_TB_Diag'!C53</f>
        <v>14.222</v>
      </c>
      <c r="G25" s="50">
        <f t="shared" si="1"/>
        <v>51.183617245924573</v>
      </c>
      <c r="H25" s="50">
        <f>(E25+G25)*Operating_Exp!$D$17</f>
        <v>17.330503814750202</v>
      </c>
      <c r="I25" s="50">
        <f t="shared" si="3"/>
        <v>15.858924606067479</v>
      </c>
    </row>
    <row r="26" spans="2:9" hidden="1" x14ac:dyDescent="0.3">
      <c r="B26" s="47" t="s">
        <v>587</v>
      </c>
      <c r="C26" s="48">
        <f t="shared" si="0"/>
        <v>41.397532124554445</v>
      </c>
      <c r="D26" s="49">
        <f t="shared" si="2"/>
        <v>4263.9458088291076</v>
      </c>
      <c r="E26" s="50">
        <f>(HR_Intervention!AA50*90%)+(HR_Intervention!AA51*10%)</f>
        <v>296.09746875000002</v>
      </c>
      <c r="F26" s="50">
        <f>'21.ECM_TB_treat'!C53</f>
        <v>3312.7677000000003</v>
      </c>
      <c r="G26" s="50">
        <f t="shared" si="1"/>
        <v>199.79848566538442</v>
      </c>
      <c r="H26" s="50">
        <f>(E26+G26)*Operating_Exp!$D$17</f>
        <v>67.650717247440411</v>
      </c>
      <c r="I26" s="50">
        <f t="shared" si="3"/>
        <v>387.63143716628252</v>
      </c>
    </row>
    <row r="27" spans="2:9" x14ac:dyDescent="0.3">
      <c r="B27" s="47" t="s">
        <v>588</v>
      </c>
      <c r="C27" s="48">
        <f t="shared" si="0"/>
        <v>4.3165915793712646</v>
      </c>
      <c r="D27" s="49">
        <f t="shared" si="2"/>
        <v>444.60893267524023</v>
      </c>
      <c r="E27" s="50">
        <f>HR_Intervention!AA53</f>
        <v>93.645187500000006</v>
      </c>
      <c r="F27" s="50">
        <f>'22.ECM_Malaria'!C53</f>
        <v>225.95999999999998</v>
      </c>
      <c r="G27" s="50">
        <f t="shared" si="1"/>
        <v>63.189215130198527</v>
      </c>
      <c r="H27" s="50">
        <f>(E27+G27)*Operating_Exp!$D$17</f>
        <v>21.395536165474365</v>
      </c>
      <c r="I27" s="50">
        <f t="shared" si="3"/>
        <v>40.418993879567296</v>
      </c>
    </row>
    <row r="28" spans="2:9" hidden="1" x14ac:dyDescent="0.3">
      <c r="B28" s="47" t="s">
        <v>589</v>
      </c>
      <c r="C28" s="48">
        <f t="shared" si="0"/>
        <v>3.642333226579936</v>
      </c>
      <c r="D28" s="49">
        <f t="shared" si="2"/>
        <v>375.16032233773342</v>
      </c>
      <c r="E28" s="50">
        <f>HR_Intervention!AA55</f>
        <v>160.60228125</v>
      </c>
      <c r="F28" s="50">
        <f>'23.ECM_Typhoid'!C53</f>
        <v>35.388999999999996</v>
      </c>
      <c r="G28" s="50">
        <f t="shared" si="1"/>
        <v>108.37003343398611</v>
      </c>
      <c r="H28" s="50">
        <f>(E28+G28)*Operating_Exp!$D$17</f>
        <v>36.69352380486248</v>
      </c>
      <c r="I28" s="50">
        <f t="shared" si="3"/>
        <v>34.105483848884859</v>
      </c>
    </row>
    <row r="29" spans="2:9" hidden="1" x14ac:dyDescent="0.3">
      <c r="B29" s="47" t="s">
        <v>590</v>
      </c>
      <c r="C29" s="48">
        <f t="shared" si="0"/>
        <v>3.960411480126877</v>
      </c>
      <c r="D29" s="49">
        <f t="shared" si="2"/>
        <v>407.92238245306834</v>
      </c>
      <c r="E29" s="50">
        <f>HR_Intervention!AA63</f>
        <v>144.21393750000001</v>
      </c>
      <c r="F29" s="50">
        <f>'24.ECM_STIs'!C53</f>
        <v>96.363760000000013</v>
      </c>
      <c r="G29" s="50">
        <f t="shared" si="1"/>
        <v>97.311626627481573</v>
      </c>
      <c r="H29" s="50">
        <f>(E29+G29)*Operating_Exp!$D$17</f>
        <v>32.949205375307834</v>
      </c>
      <c r="I29" s="50">
        <f t="shared" si="3"/>
        <v>37.083852950278946</v>
      </c>
    </row>
    <row r="30" spans="2:9" hidden="1" x14ac:dyDescent="0.3">
      <c r="B30" s="47" t="s">
        <v>594</v>
      </c>
      <c r="C30" s="48">
        <f t="shared" si="0"/>
        <v>5.2597878500961679</v>
      </c>
      <c r="D30" s="49">
        <f t="shared" si="2"/>
        <v>541.75814855990529</v>
      </c>
      <c r="E30" s="50">
        <f>HR_Intervention!AA61</f>
        <v>110.03353125000001</v>
      </c>
      <c r="F30" s="50">
        <f>'25.ECM_Trachoma'!C53</f>
        <v>283.08640000000003</v>
      </c>
      <c r="G30" s="50">
        <f t="shared" si="1"/>
        <v>74.247621936703069</v>
      </c>
      <c r="H30" s="50">
        <f>(E30+G30)*Operating_Exp!$D$17</f>
        <v>25.139854595029018</v>
      </c>
      <c r="I30" s="50">
        <f t="shared" si="3"/>
        <v>49.250740778173217</v>
      </c>
    </row>
    <row r="31" spans="2:9" hidden="1" x14ac:dyDescent="0.3">
      <c r="B31" s="47" t="s">
        <v>591</v>
      </c>
      <c r="C31" s="48">
        <f t="shared" si="0"/>
        <v>1.9487533473988075</v>
      </c>
      <c r="D31" s="49">
        <f t="shared" si="2"/>
        <v>200.72159478207718</v>
      </c>
      <c r="E31" s="50">
        <f>HR_Intervention!AA65</f>
        <v>59.464781250000009</v>
      </c>
      <c r="F31" s="50">
        <f>'26.ECM_UTI'!C53</f>
        <v>69.298000000000002</v>
      </c>
      <c r="G31" s="50">
        <f t="shared" si="1"/>
        <v>40.12521043942003</v>
      </c>
      <c r="H31" s="50">
        <f>(E31+G31)*Operating_Exp!$D$17</f>
        <v>13.586185385195551</v>
      </c>
      <c r="I31" s="50">
        <f t="shared" si="3"/>
        <v>18.247417707461562</v>
      </c>
    </row>
    <row r="32" spans="2:9" hidden="1" x14ac:dyDescent="0.3">
      <c r="B32" s="47" t="s">
        <v>945</v>
      </c>
      <c r="C32" s="48">
        <f t="shared" ref="C32" si="4">D32/ex_usd</f>
        <v>0.32955906098583776</v>
      </c>
      <c r="D32" s="49">
        <f t="shared" ref="D32" si="5">SUM(E32:I32)</f>
        <v>33.944583281541291</v>
      </c>
      <c r="E32" s="50">
        <f>HR_Intervention!$AA$38</f>
        <v>8.7536249999999995</v>
      </c>
      <c r="F32" s="50">
        <f>'27.Nut_VitA'!$I$16</f>
        <v>14.198399999999999</v>
      </c>
      <c r="G32" s="206">
        <f>$E$32*indirect_sal</f>
        <v>5.9067070936676167</v>
      </c>
      <c r="H32" s="50">
        <f>($E$32+$G$32)*Operating_Exp!$D$17</f>
        <v>1.9999799804608276</v>
      </c>
      <c r="I32" s="206">
        <f>SUM($E$32:$H$32)*10%</f>
        <v>3.0858712074128447</v>
      </c>
    </row>
    <row r="33" spans="2:9" hidden="1" x14ac:dyDescent="0.3">
      <c r="B33" s="47" t="s">
        <v>946</v>
      </c>
      <c r="C33" s="48">
        <f t="shared" ref="C33" si="6">D33/ex_usd</f>
        <v>2.284502125752244</v>
      </c>
      <c r="D33" s="49">
        <f t="shared" ref="D33" si="7">SUM(E33:I33)</f>
        <v>235.30371895248115</v>
      </c>
      <c r="E33" s="50">
        <v>10</v>
      </c>
      <c r="F33" s="50">
        <f>'28.Nut_MMS'!I16</f>
        <v>194.88</v>
      </c>
      <c r="G33" s="50">
        <f t="shared" ref="G33" si="8">E33*indirect_sal</f>
        <v>6.747726905901974</v>
      </c>
      <c r="H33" s="50">
        <f>(E33+G33)*Operating_Exp!$D$17</f>
        <v>2.2847448690808978</v>
      </c>
      <c r="I33" s="50">
        <f t="shared" ref="I33" si="9">SUM(E33:H33)*10%</f>
        <v>21.391247177498286</v>
      </c>
    </row>
    <row r="34" spans="2:9" x14ac:dyDescent="0.3">
      <c r="B34" s="152"/>
      <c r="C34" s="152"/>
      <c r="D34" s="152"/>
      <c r="E34" s="152"/>
      <c r="F34" s="152"/>
      <c r="G34" s="152"/>
      <c r="H34" s="152"/>
      <c r="I34" s="152"/>
    </row>
    <row r="35" spans="2:9" x14ac:dyDescent="0.3">
      <c r="F35" s="52"/>
    </row>
  </sheetData>
  <sheetProtection algorithmName="SHA-512" hashValue="sXmiNlRFzGxzEt0q4IA2gL4VX2xSXIg/lkJgqOHMwxwcAl6Lk673+kVeymK2RHbTXuupGACYVjIiP8r46KqSvQ==" saltValue="uU3+/i/8LOFQJ7eoVJ8XJA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B3:B4"/>
    <mergeCell ref="E3:I3"/>
    <mergeCell ref="C4:D4"/>
    <mergeCell ref="B2:I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1:K53"/>
  <sheetViews>
    <sheetView showGridLines="0" zoomScaleNormal="100" workbookViewId="0">
      <selection activeCell="M22" sqref="M22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537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74"/>
      <c r="C6" s="65"/>
      <c r="D6" s="65"/>
      <c r="E6" s="76"/>
      <c r="F6" s="66"/>
      <c r="G6" s="67">
        <f>C6*D6*E6*F6</f>
        <v>0</v>
      </c>
      <c r="H6" s="68" t="str">
        <f>IF(G6=0,"",(VLOOKUP($B$6:$B$15,Drugs_list!$C$9:$K$184,7,FALSE)))</f>
        <v/>
      </c>
      <c r="I6" s="68" t="str">
        <f>IF(G6=0,"",(G6*H6))</f>
        <v/>
      </c>
      <c r="K6" s="63" t="e">
        <f>VLOOKUP($B$6:$B$15,Drugs_list!$C$9:$K$172,9,FALSE)</f>
        <v>#N/A</v>
      </c>
    </row>
    <row r="7" spans="2:11" x14ac:dyDescent="0.25">
      <c r="B7" s="64"/>
      <c r="C7" s="65"/>
      <c r="D7" s="65"/>
      <c r="E7" s="76"/>
      <c r="F7" s="66"/>
      <c r="G7" s="67">
        <f t="shared" ref="G7:G15" si="0">C7*D7*E7*F7</f>
        <v>0</v>
      </c>
      <c r="H7" s="68" t="str">
        <f>IF(G7=0,"",(VLOOKUP($B$6:$B$15,Drugs_list!$C$9:$K$172,7,FALSE)))</f>
        <v/>
      </c>
      <c r="I7" s="68" t="str">
        <f t="shared" ref="I7:I15" si="1">IF(G7=0,"",(G7*H7))</f>
        <v/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76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6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6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6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0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 t="s">
        <v>301</v>
      </c>
      <c r="C21" s="65">
        <v>1</v>
      </c>
      <c r="D21" s="66">
        <v>1</v>
      </c>
      <c r="E21" s="67">
        <f>IF(C21="","",(VLOOKUP($B$21:$B$30,Supplies_list!$C$8:$G$64,5,FALSE)))</f>
        <v>4.4000000000000004</v>
      </c>
      <c r="F21" s="67">
        <f>IF(C21="","",(C21*D21*E21))</f>
        <v>4.4000000000000004</v>
      </c>
    </row>
    <row r="22" spans="2:6" x14ac:dyDescent="0.25">
      <c r="B22" s="64" t="s">
        <v>483</v>
      </c>
      <c r="C22" s="65">
        <v>1</v>
      </c>
      <c r="D22" s="66">
        <v>1</v>
      </c>
      <c r="E22" s="67">
        <f>IF(C22="","",(VLOOKUP($B$21:$B$30,Supplies_list!$C$8:$G$64,5,FALSE)))</f>
        <v>4.4219999999999997</v>
      </c>
      <c r="F22" s="67">
        <f t="shared" ref="F22:F30" si="2">IF(C22="","",(C22*D22*E22))</f>
        <v>4.4219999999999997</v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8.8219999999999992</v>
      </c>
    </row>
    <row r="35" spans="2:6" ht="15.75" x14ac:dyDescent="0.25">
      <c r="B35" s="236" t="s">
        <v>163</v>
      </c>
      <c r="C35" s="236"/>
      <c r="D35" s="236"/>
      <c r="E35" s="236"/>
      <c r="F35" s="255"/>
    </row>
    <row r="36" spans="2:6" ht="30" x14ac:dyDescent="0.25">
      <c r="B36" s="184" t="s">
        <v>0</v>
      </c>
      <c r="C36" s="184" t="s">
        <v>1</v>
      </c>
      <c r="D36" s="184" t="s">
        <v>513</v>
      </c>
      <c r="E36" s="184" t="s">
        <v>159</v>
      </c>
      <c r="F36" s="194" t="s">
        <v>160</v>
      </c>
    </row>
    <row r="37" spans="2:6" x14ac:dyDescent="0.25">
      <c r="B37" s="64" t="s">
        <v>195</v>
      </c>
      <c r="C37" s="65">
        <v>1</v>
      </c>
      <c r="D37" s="77">
        <v>0.9</v>
      </c>
      <c r="E37" s="67">
        <f>IF(B37="","",(VLOOKUP($B$37:$B$46,Lab_tests!$H$6:$I$47,2,FALSE)))</f>
        <v>6</v>
      </c>
      <c r="F37" s="67">
        <f>IF(C37="","",(C37*D37*E37))</f>
        <v>5.4</v>
      </c>
    </row>
    <row r="38" spans="2:6" x14ac:dyDescent="0.25">
      <c r="B38" s="64"/>
      <c r="C38" s="65"/>
      <c r="D38" s="77"/>
      <c r="E38" s="67" t="str">
        <f>IF(B38="","",(VLOOKUP($B$37:$B$46,Lab_tests!$H$6:$I$47,2,FALSE)))</f>
        <v/>
      </c>
      <c r="F38" s="67" t="str">
        <f t="shared" ref="F38:F46" si="3">IF(C38="","",(C38*D38*E38))</f>
        <v/>
      </c>
    </row>
    <row r="39" spans="2:6" x14ac:dyDescent="0.25">
      <c r="B39" s="64"/>
      <c r="C39" s="65"/>
      <c r="D39" s="77"/>
      <c r="E39" s="67" t="str">
        <f>IF(B39="","",(VLOOKUP($B$37:$B$46,Lab_tests!$H$6:$I$47,2,FALSE)))</f>
        <v/>
      </c>
      <c r="F39" s="67" t="str">
        <f t="shared" si="3"/>
        <v/>
      </c>
    </row>
    <row r="40" spans="2:6" x14ac:dyDescent="0.25">
      <c r="B40" s="64"/>
      <c r="C40" s="65"/>
      <c r="D40" s="78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77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77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77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77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77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77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187">
        <f>SUM(F37:F43)</f>
        <v>5.4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0</v>
      </c>
    </row>
    <row r="51" spans="2:3" x14ac:dyDescent="0.25">
      <c r="B51" s="72" t="s">
        <v>147</v>
      </c>
      <c r="C51" s="73">
        <f>F31</f>
        <v>8.8219999999999992</v>
      </c>
    </row>
    <row r="52" spans="2:3" x14ac:dyDescent="0.25">
      <c r="B52" s="72" t="s">
        <v>596</v>
      </c>
      <c r="C52" s="73">
        <f>F47</f>
        <v>5.4</v>
      </c>
    </row>
    <row r="53" spans="2:3" x14ac:dyDescent="0.25">
      <c r="B53" s="186" t="s">
        <v>8</v>
      </c>
      <c r="C53" s="198">
        <f>SUM(C50:C52)</f>
        <v>14.222</v>
      </c>
    </row>
  </sheetData>
  <sheetProtection algorithmName="SHA-512" hashValue="cF+agGI0CHx/MIo63lCYWzEgxNAUar7R+JSHabH5xTLcTW58SHUsQ5IAl3oz08WgRYFbtRR/KyV/eH03MGx/6Q==" saltValue="ROjBCx5E2ZkByHym9fAeCg==" spinCount="100000"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Drugs_list!$C$9:$C$184</xm:f>
          </x14:formula1>
          <xm:sqref>B6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1:K53"/>
  <sheetViews>
    <sheetView showGridLines="0" zoomScaleNormal="100" workbookViewId="0">
      <selection activeCell="M22" sqref="M22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.7109375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536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ht="30" x14ac:dyDescent="0.25">
      <c r="B6" s="74" t="s">
        <v>433</v>
      </c>
      <c r="C6" s="65">
        <v>60</v>
      </c>
      <c r="D6" s="65">
        <v>2</v>
      </c>
      <c r="E6" s="76">
        <v>1</v>
      </c>
      <c r="F6" s="66">
        <v>0.85</v>
      </c>
      <c r="G6" s="67">
        <f>C6*D6*E6*F6</f>
        <v>102</v>
      </c>
      <c r="H6" s="68">
        <f>IF(G6=0,"",(VLOOKUP($B$6:$B$15,Drugs_list!$C$9:$K$184,7,FALSE)))</f>
        <v>6.96</v>
      </c>
      <c r="I6" s="68">
        <f>IF(G6=0,"",(G6*H6))</f>
        <v>709.92</v>
      </c>
      <c r="K6" s="63" t="str">
        <f>VLOOKUP($B$6:$B$15,Drugs_list!$C$9:$K$172,9,FALSE)</f>
        <v>1tab</v>
      </c>
    </row>
    <row r="7" spans="2:11" x14ac:dyDescent="0.25">
      <c r="B7" s="64" t="s">
        <v>389</v>
      </c>
      <c r="C7" s="65">
        <f>6*30</f>
        <v>180</v>
      </c>
      <c r="D7" s="65">
        <v>3</v>
      </c>
      <c r="E7" s="76">
        <v>1</v>
      </c>
      <c r="F7" s="66">
        <v>0.85</v>
      </c>
      <c r="G7" s="67">
        <f t="shared" ref="G7:G15" si="0">C7*D7*E7*F7</f>
        <v>459</v>
      </c>
      <c r="H7" s="68">
        <f>IF(G7=0,"",(VLOOKUP($B$6:$B$15,Drugs_list!$C$9:$K$172,7,FALSE)))</f>
        <v>3.77</v>
      </c>
      <c r="I7" s="68">
        <f t="shared" ref="I7:I15" si="1">IF(G7=0,"",(G7*H7))</f>
        <v>1730.43</v>
      </c>
      <c r="K7" s="63" t="str">
        <f>VLOOKUP($B$6:$B$15,Drugs_list!$C$9:$K$172,9,FALSE)</f>
        <v>1tab</v>
      </c>
    </row>
    <row r="8" spans="2:11" ht="30" x14ac:dyDescent="0.25">
      <c r="B8" s="74" t="s">
        <v>433</v>
      </c>
      <c r="C8" s="65">
        <v>90</v>
      </c>
      <c r="D8" s="65">
        <v>2</v>
      </c>
      <c r="E8" s="76">
        <v>1</v>
      </c>
      <c r="F8" s="66">
        <v>0.15</v>
      </c>
      <c r="G8" s="67">
        <f t="shared" si="0"/>
        <v>27</v>
      </c>
      <c r="H8" s="68">
        <f>IF(G8=0,"",(VLOOKUP($B$6:$B$15,Drugs_list!$C$9:$K$172,7,FALSE)))</f>
        <v>6.96</v>
      </c>
      <c r="I8" s="68">
        <f t="shared" si="1"/>
        <v>187.92</v>
      </c>
      <c r="K8" s="63" t="str">
        <f>VLOOKUP($B$6:$B$15,Drugs_list!$C$9:$K$172,9,FALSE)</f>
        <v>1tab</v>
      </c>
    </row>
    <row r="9" spans="2:11" x14ac:dyDescent="0.25">
      <c r="B9" s="64" t="s">
        <v>445</v>
      </c>
      <c r="C9" s="65">
        <v>60</v>
      </c>
      <c r="D9" s="65">
        <v>1</v>
      </c>
      <c r="E9" s="76">
        <v>0.75</v>
      </c>
      <c r="F9" s="66">
        <v>0.15</v>
      </c>
      <c r="G9" s="67">
        <f t="shared" si="0"/>
        <v>6.75</v>
      </c>
      <c r="H9" s="68">
        <f>IF(G9=0,"",(VLOOKUP($B$6:$B$15,Drugs_list!$C$9:$K$172,7,FALSE)))</f>
        <v>2.5404</v>
      </c>
      <c r="I9" s="68">
        <f t="shared" si="1"/>
        <v>17.1477</v>
      </c>
      <c r="K9" s="63" t="str">
        <f>VLOOKUP($B$6:$B$15,Drugs_list!$C$9:$K$172,9,FALSE)</f>
        <v>1inj</v>
      </c>
    </row>
    <row r="10" spans="2:11" x14ac:dyDescent="0.25">
      <c r="B10" s="64" t="s">
        <v>366</v>
      </c>
      <c r="C10" s="65">
        <f>5*30</f>
        <v>150</v>
      </c>
      <c r="D10" s="65">
        <v>3</v>
      </c>
      <c r="E10" s="76">
        <v>1</v>
      </c>
      <c r="F10" s="66">
        <v>0.15</v>
      </c>
      <c r="G10" s="67">
        <f t="shared" si="0"/>
        <v>67.5</v>
      </c>
      <c r="H10" s="68">
        <f>IF(G10=0,"",(VLOOKUP($B$6:$B$15,Drugs_list!$C$9:$K$172,7,FALSE)))</f>
        <v>3.48</v>
      </c>
      <c r="I10" s="68">
        <f t="shared" si="1"/>
        <v>234.9</v>
      </c>
      <c r="K10" s="63" t="str">
        <f>VLOOKUP($B$6:$B$15,Drugs_list!$C$9:$K$172,9,FALSE)</f>
        <v>1tab</v>
      </c>
    </row>
    <row r="11" spans="2:11" x14ac:dyDescent="0.25">
      <c r="B11" s="64" t="s">
        <v>435</v>
      </c>
      <c r="C11" s="65">
        <v>150</v>
      </c>
      <c r="D11" s="65">
        <v>3</v>
      </c>
      <c r="E11" s="76">
        <v>1</v>
      </c>
      <c r="F11" s="66">
        <v>0.15</v>
      </c>
      <c r="G11" s="67">
        <f t="shared" si="0"/>
        <v>67.5</v>
      </c>
      <c r="H11" s="68">
        <f>IF(G11=0,"",(VLOOKUP($B$6:$B$15,Drugs_list!$C$9:$K$172,7,FALSE)))</f>
        <v>5.22</v>
      </c>
      <c r="I11" s="68">
        <f t="shared" si="1"/>
        <v>352.34999999999997</v>
      </c>
      <c r="K11" s="63" t="str">
        <f>VLOOKUP($B$6:$B$15,Drugs_list!$C$9:$K$172,9,FALSE)</f>
        <v>1tab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3232.6677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 t="s">
        <v>148</v>
      </c>
      <c r="C21" s="65">
        <v>60</v>
      </c>
      <c r="D21" s="66">
        <v>0.15</v>
      </c>
      <c r="E21" s="67">
        <f>IF(C21="","",(VLOOKUP($B$21:$B$30,Supplies_list!$C$8:$G$64,5,FALSE)))</f>
        <v>3.3</v>
      </c>
      <c r="F21" s="67">
        <f>IF(C21="","",(C21*D21*E21))</f>
        <v>29.7</v>
      </c>
    </row>
    <row r="22" spans="2:6" x14ac:dyDescent="0.25">
      <c r="B22" s="64" t="s">
        <v>499</v>
      </c>
      <c r="C22" s="65">
        <v>60</v>
      </c>
      <c r="D22" s="66">
        <v>0.15</v>
      </c>
      <c r="E22" s="67">
        <f>IF(C22="","",(VLOOKUP($B$21:$B$30,Supplies_list!$C$8:$G$64,5,FALSE)))</f>
        <v>4.4000000000000004</v>
      </c>
      <c r="F22" s="67">
        <f t="shared" ref="F22:F30" si="2">IF(C22="","",(C22*D22*E22))</f>
        <v>39.6</v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69.3</v>
      </c>
    </row>
    <row r="35" spans="2:6" ht="15.75" x14ac:dyDescent="0.25">
      <c r="B35" s="236" t="s">
        <v>163</v>
      </c>
      <c r="C35" s="236"/>
      <c r="D35" s="236"/>
      <c r="E35" s="236"/>
      <c r="F35" s="255"/>
    </row>
    <row r="36" spans="2:6" ht="30" x14ac:dyDescent="0.25">
      <c r="B36" s="184" t="s">
        <v>0</v>
      </c>
      <c r="C36" s="184" t="s">
        <v>1</v>
      </c>
      <c r="D36" s="184" t="s">
        <v>513</v>
      </c>
      <c r="E36" s="184" t="s">
        <v>159</v>
      </c>
      <c r="F36" s="194" t="s">
        <v>160</v>
      </c>
    </row>
    <row r="37" spans="2:6" x14ac:dyDescent="0.25">
      <c r="B37" s="64" t="s">
        <v>195</v>
      </c>
      <c r="C37" s="65">
        <v>2</v>
      </c>
      <c r="D37" s="77">
        <v>0.9</v>
      </c>
      <c r="E37" s="67">
        <f>IF(B37="","",(VLOOKUP($B$37:$B$46,Lab_tests!$H$6:$I$47,2,FALSE)))</f>
        <v>6</v>
      </c>
      <c r="F37" s="67">
        <f>IF(C37=0,"",(C37*E37*D37))</f>
        <v>10.8</v>
      </c>
    </row>
    <row r="38" spans="2:6" x14ac:dyDescent="0.25">
      <c r="B38" s="64"/>
      <c r="C38" s="65"/>
      <c r="D38" s="77">
        <v>0.1</v>
      </c>
      <c r="E38" s="67" t="str">
        <f>IF(B38="","",(VLOOKUP($B$37:$B$46,Lab_tests!$H$6:$I$47,2,FALSE)))</f>
        <v/>
      </c>
      <c r="F38" s="67" t="str">
        <f>IF(C38=0,"",(C38*E38*D38))</f>
        <v/>
      </c>
    </row>
    <row r="39" spans="2:6" x14ac:dyDescent="0.25">
      <c r="B39" s="64"/>
      <c r="C39" s="65"/>
      <c r="D39" s="67"/>
      <c r="E39" s="67" t="str">
        <f>IF(B39="","",(VLOOKUP($B$37:$B$46,Lab_tests!$H$6:$I$47,2,FALSE)))</f>
        <v/>
      </c>
      <c r="F39" s="67" t="str">
        <f t="shared" ref="F39:F46" si="3">IF(C39=0,"",(C39*E39))</f>
        <v/>
      </c>
    </row>
    <row r="40" spans="2:6" x14ac:dyDescent="0.25">
      <c r="B40" s="64"/>
      <c r="C40" s="65"/>
      <c r="D40" s="67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67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67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67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67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67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67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187">
        <f>SUM(F37:F43)</f>
        <v>10.8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3232.6677</v>
      </c>
    </row>
    <row r="51" spans="2:3" x14ac:dyDescent="0.25">
      <c r="B51" s="72" t="s">
        <v>147</v>
      </c>
      <c r="C51" s="73">
        <f>F31</f>
        <v>69.3</v>
      </c>
    </row>
    <row r="52" spans="2:3" x14ac:dyDescent="0.25">
      <c r="B52" s="72" t="s">
        <v>596</v>
      </c>
      <c r="C52" s="73">
        <f>F47</f>
        <v>10.8</v>
      </c>
    </row>
    <row r="53" spans="2:3" x14ac:dyDescent="0.25">
      <c r="B53" s="186" t="s">
        <v>8</v>
      </c>
      <c r="C53" s="198">
        <f>SUM(C50:C52)</f>
        <v>3312.7677000000003</v>
      </c>
    </row>
  </sheetData>
  <sheetProtection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dataValidations count="2">
    <dataValidation type="list" allowBlank="1" showInputMessage="1" showErrorMessage="1" sqref="B8">
      <formula1>$C$8:$C$181</formula1>
    </dataValidation>
    <dataValidation type="list" allowBlank="1" showInputMessage="1" showErrorMessage="1" sqref="B9:B15">
      <formula1>$C$9:$C$171</formula1>
    </dataValidation>
  </dataValidations>
  <pageMargins left="0.25" right="0.25" top="0.75" bottom="0.75" header="0.3" footer="0.3"/>
  <pageSetup paperSize="9" scale="5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Drugs_list!$C$9:$C$184</xm:f>
          </x14:formula1>
          <xm:sqref>B6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1:K53"/>
  <sheetViews>
    <sheetView showGridLines="0" zoomScaleNormal="100" workbookViewId="0">
      <selection activeCell="F14" sqref="F14 J14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538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74" t="s">
        <v>323</v>
      </c>
      <c r="C6" s="65">
        <v>1</v>
      </c>
      <c r="D6" s="65">
        <v>3</v>
      </c>
      <c r="E6" s="75">
        <v>1</v>
      </c>
      <c r="F6" s="66">
        <v>1</v>
      </c>
      <c r="G6" s="67">
        <f>C6*D6*E6*F6</f>
        <v>3</v>
      </c>
      <c r="H6" s="68">
        <f>IF(G6=0,"",(VLOOKUP($B$6:$B$15,Drugs_list!$C$9:$K$184,7,FALSE)))</f>
        <v>18.559999999999999</v>
      </c>
      <c r="I6" s="68">
        <f>IF(G6=0,"",(G6*H6))</f>
        <v>55.679999999999993</v>
      </c>
      <c r="K6" s="63" t="str">
        <f>VLOOKUP($B$6:$B$15,Drugs_list!$C$9:$K$172,9,FALSE)</f>
        <v/>
      </c>
    </row>
    <row r="7" spans="2:11" x14ac:dyDescent="0.25">
      <c r="B7" s="64" t="s">
        <v>446</v>
      </c>
      <c r="C7" s="65">
        <v>1</v>
      </c>
      <c r="D7" s="65">
        <v>3</v>
      </c>
      <c r="E7" s="76">
        <v>1</v>
      </c>
      <c r="F7" s="66">
        <v>1</v>
      </c>
      <c r="G7" s="67">
        <f t="shared" ref="G7:G15" si="0">C7*D7*E7*F7</f>
        <v>3</v>
      </c>
      <c r="H7" s="68">
        <f>IF(G7=0,"",(VLOOKUP($B$6:$B$15,Drugs_list!$C$9:$K$172,7,FALSE)))</f>
        <v>5.8</v>
      </c>
      <c r="I7" s="68">
        <f t="shared" ref="I7:I15" si="1">IF(G7=0,"",(G7*H7))</f>
        <v>17.399999999999999</v>
      </c>
      <c r="K7" s="63" t="str">
        <f>VLOOKUP($B$6:$B$15,Drugs_list!$C$9:$K$172,9,FALSE)</f>
        <v>5ml</v>
      </c>
    </row>
    <row r="8" spans="2:11" x14ac:dyDescent="0.25">
      <c r="B8" s="64" t="s">
        <v>323</v>
      </c>
      <c r="C8" s="65">
        <v>2</v>
      </c>
      <c r="D8" s="65">
        <v>4</v>
      </c>
      <c r="E8" s="76">
        <v>1</v>
      </c>
      <c r="F8" s="66">
        <v>1</v>
      </c>
      <c r="G8" s="67">
        <f t="shared" si="0"/>
        <v>8</v>
      </c>
      <c r="H8" s="68">
        <f>IF(G8=0,"",(VLOOKUP($B$6:$B$15,Drugs_list!$C$9:$K$172,7,FALSE)))</f>
        <v>18.559999999999999</v>
      </c>
      <c r="I8" s="68">
        <f t="shared" si="1"/>
        <v>148.47999999999999</v>
      </c>
      <c r="K8" s="63" t="str">
        <f>VLOOKUP($B$6:$B$15,Drugs_list!$C$9:$K$172,9,FALSE)</f>
        <v/>
      </c>
    </row>
    <row r="9" spans="2:11" x14ac:dyDescent="0.25">
      <c r="B9" s="64"/>
      <c r="C9" s="65"/>
      <c r="D9" s="65"/>
      <c r="E9" s="76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6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6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221.55999999999997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 t="s">
        <v>301</v>
      </c>
      <c r="C21" s="65">
        <v>1</v>
      </c>
      <c r="D21" s="66">
        <v>1</v>
      </c>
      <c r="E21" s="67">
        <f>IF(C21="","",(VLOOKUP($B$21:$B$30,Supplies_list!$C$8:$G$64,5,FALSE)))</f>
        <v>4.4000000000000004</v>
      </c>
      <c r="F21" s="67">
        <f>IF(C21="","",(C21*D21*E21))</f>
        <v>4.4000000000000004</v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4.4000000000000004</v>
      </c>
    </row>
    <row r="35" spans="2:6" ht="15.75" x14ac:dyDescent="0.25">
      <c r="B35" s="236" t="s">
        <v>163</v>
      </c>
      <c r="C35" s="236"/>
      <c r="D35" s="236"/>
      <c r="E35" s="236"/>
      <c r="F35" s="255"/>
    </row>
    <row r="36" spans="2:6" ht="30" x14ac:dyDescent="0.25">
      <c r="B36" s="184" t="s">
        <v>0</v>
      </c>
      <c r="C36" s="184" t="s">
        <v>1</v>
      </c>
      <c r="D36" s="184" t="s">
        <v>513</v>
      </c>
      <c r="E36" s="184" t="s">
        <v>159</v>
      </c>
      <c r="F36" s="194" t="s">
        <v>160</v>
      </c>
    </row>
    <row r="37" spans="2:6" x14ac:dyDescent="0.25">
      <c r="B37" s="64"/>
      <c r="C37" s="65"/>
      <c r="D37" s="77"/>
      <c r="E37" s="67" t="str">
        <f>IF(B37="","",(VLOOKUP($B$37:$B$46,Lab_tests!$H$6:$I$47,2,FALSE)))</f>
        <v/>
      </c>
      <c r="F37" s="67" t="str">
        <f>IF(C37="","",(C37*D37*E37))</f>
        <v/>
      </c>
    </row>
    <row r="38" spans="2:6" x14ac:dyDescent="0.25">
      <c r="B38" s="64"/>
      <c r="C38" s="65"/>
      <c r="D38" s="77"/>
      <c r="E38" s="67" t="str">
        <f>IF(B38="","",(VLOOKUP($B$37:$B$46,Lab_tests!$H$6:$I$47,2,FALSE)))</f>
        <v/>
      </c>
      <c r="F38" s="67" t="str">
        <f t="shared" ref="F38:F46" si="3">IF(C38="","",(C38*D38*E38))</f>
        <v/>
      </c>
    </row>
    <row r="39" spans="2:6" x14ac:dyDescent="0.25">
      <c r="B39" s="64"/>
      <c r="C39" s="65"/>
      <c r="D39" s="77"/>
      <c r="E39" s="67" t="str">
        <f>IF(B39="","",(VLOOKUP($B$37:$B$46,Lab_tests!$H$6:$I$47,2,FALSE)))</f>
        <v/>
      </c>
      <c r="F39" s="67" t="str">
        <f t="shared" si="3"/>
        <v/>
      </c>
    </row>
    <row r="40" spans="2:6" x14ac:dyDescent="0.25">
      <c r="B40" s="64"/>
      <c r="C40" s="65"/>
      <c r="D40" s="78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77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77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77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77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77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77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69">
        <f>SUM(F37:F43)</f>
        <v>0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221.55999999999997</v>
      </c>
    </row>
    <row r="51" spans="2:3" x14ac:dyDescent="0.25">
      <c r="B51" s="72" t="s">
        <v>147</v>
      </c>
      <c r="C51" s="73">
        <f>F31</f>
        <v>4.4000000000000004</v>
      </c>
    </row>
    <row r="52" spans="2:3" x14ac:dyDescent="0.25">
      <c r="B52" s="72" t="s">
        <v>596</v>
      </c>
      <c r="C52" s="73">
        <f>F47</f>
        <v>0</v>
      </c>
    </row>
    <row r="53" spans="2:3" x14ac:dyDescent="0.25">
      <c r="B53" s="186" t="s">
        <v>8</v>
      </c>
      <c r="C53" s="198">
        <f>SUM(C50:C52)</f>
        <v>225.95999999999998</v>
      </c>
    </row>
  </sheetData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Drugs_list!$C$9:$C$184</xm:f>
          </x14:formula1>
          <xm:sqref>B6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B7:B15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1:K53"/>
  <sheetViews>
    <sheetView showGridLines="0" zoomScaleNormal="100" workbookViewId="0">
      <selection activeCell="V30" sqref="V3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539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74" t="s">
        <v>344</v>
      </c>
      <c r="C6" s="65">
        <v>5</v>
      </c>
      <c r="D6" s="65">
        <v>2</v>
      </c>
      <c r="E6" s="75">
        <v>0.5</v>
      </c>
      <c r="F6" s="66">
        <v>1</v>
      </c>
      <c r="G6" s="67">
        <f>C6*D6*E6*F6</f>
        <v>5</v>
      </c>
      <c r="H6" s="68">
        <f>IF(G6=0,"",(VLOOKUP($B$6:$B$15,Drugs_list!$C$9:$K$184,7,FALSE)))</f>
        <v>3.48</v>
      </c>
      <c r="I6" s="68">
        <f>IF(G6=0,"",(G6*H6))</f>
        <v>17.399999999999999</v>
      </c>
      <c r="K6" s="63" t="str">
        <f>VLOOKUP($B$6:$B$15,Drugs_list!$C$9:$K$172,9,FALSE)</f>
        <v>1tab</v>
      </c>
    </row>
    <row r="7" spans="2:11" x14ac:dyDescent="0.25">
      <c r="B7" s="64" t="s">
        <v>447</v>
      </c>
      <c r="C7" s="65">
        <v>5</v>
      </c>
      <c r="D7" s="65">
        <v>1</v>
      </c>
      <c r="E7" s="76">
        <v>1</v>
      </c>
      <c r="F7" s="66">
        <v>1</v>
      </c>
      <c r="G7" s="67">
        <f t="shared" ref="G7:G15" si="0">C7*D7*E7*F7</f>
        <v>5</v>
      </c>
      <c r="H7" s="68">
        <f>IF(G7=0,"",(VLOOKUP($B$6:$B$15,Drugs_list!$C$9:$K$172,7,FALSE)))</f>
        <v>2.61</v>
      </c>
      <c r="I7" s="68">
        <f t="shared" ref="I7:I15" si="1">IF(G7=0,"",(G7*H7))</f>
        <v>13.049999999999999</v>
      </c>
      <c r="K7" s="63" t="str">
        <f>VLOOKUP($B$6:$B$15,Drugs_list!$C$9:$K$172,9,FALSE)</f>
        <v>1tab</v>
      </c>
    </row>
    <row r="8" spans="2:11" x14ac:dyDescent="0.25">
      <c r="B8" s="64"/>
      <c r="C8" s="65"/>
      <c r="D8" s="65"/>
      <c r="E8" s="76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6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6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6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30.449999999999996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 t="s">
        <v>301</v>
      </c>
      <c r="C21" s="65">
        <v>1</v>
      </c>
      <c r="D21" s="66">
        <v>1</v>
      </c>
      <c r="E21" s="67">
        <f>IF(C21="","",(VLOOKUP($B$21:$B$30,Supplies_list!$C$8:$G$64,5,FALSE)))</f>
        <v>4.4000000000000004</v>
      </c>
      <c r="F21" s="67">
        <f>IF(C21="","",(C21*D21*E21))</f>
        <v>4.4000000000000004</v>
      </c>
    </row>
    <row r="22" spans="2:6" x14ac:dyDescent="0.25">
      <c r="B22" s="64" t="s">
        <v>501</v>
      </c>
      <c r="C22" s="65">
        <v>1</v>
      </c>
      <c r="D22" s="66">
        <v>1</v>
      </c>
      <c r="E22" s="67">
        <f>IF(C22="","",(VLOOKUP($B$21:$B$30,Supplies_list!$C$8:$G$64,5,FALSE)))</f>
        <v>0.53900000000000003</v>
      </c>
      <c r="F22" s="67">
        <f t="shared" ref="F22:F30" si="2">IF(C22="","",(C22*D22*E22))</f>
        <v>0.53900000000000003</v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4.9390000000000001</v>
      </c>
    </row>
    <row r="35" spans="2:6" ht="15.75" x14ac:dyDescent="0.25">
      <c r="B35" s="236" t="s">
        <v>163</v>
      </c>
      <c r="C35" s="236"/>
      <c r="D35" s="236"/>
      <c r="E35" s="236"/>
      <c r="F35" s="255"/>
    </row>
    <row r="36" spans="2:6" ht="30" x14ac:dyDescent="0.25">
      <c r="B36" s="184" t="s">
        <v>0</v>
      </c>
      <c r="C36" s="184" t="s">
        <v>1</v>
      </c>
      <c r="D36" s="184" t="s">
        <v>513</v>
      </c>
      <c r="E36" s="184" t="s">
        <v>159</v>
      </c>
      <c r="F36" s="194" t="s">
        <v>160</v>
      </c>
    </row>
    <row r="37" spans="2:6" x14ac:dyDescent="0.25">
      <c r="B37" s="64"/>
      <c r="C37" s="65"/>
      <c r="D37" s="77"/>
      <c r="E37" s="67" t="str">
        <f>IF(B37="","",(VLOOKUP($B$37:$B$46,Lab_tests!$H$6:$I$47,2,FALSE)))</f>
        <v/>
      </c>
      <c r="F37" s="67" t="str">
        <f>IF(C37="","",(C37*D37*E37))</f>
        <v/>
      </c>
    </row>
    <row r="38" spans="2:6" x14ac:dyDescent="0.25">
      <c r="B38" s="64"/>
      <c r="C38" s="65"/>
      <c r="D38" s="77"/>
      <c r="E38" s="67" t="str">
        <f>IF(B38="","",(VLOOKUP($B$37:$B$46,Lab_tests!$H$6:$I$47,2,FALSE)))</f>
        <v/>
      </c>
      <c r="F38" s="67" t="str">
        <f t="shared" ref="F38:F46" si="3">IF(C38="","",(C38*D38*E38))</f>
        <v/>
      </c>
    </row>
    <row r="39" spans="2:6" x14ac:dyDescent="0.25">
      <c r="B39" s="64"/>
      <c r="C39" s="65"/>
      <c r="D39" s="77"/>
      <c r="E39" s="67" t="str">
        <f>IF(B39="","",(VLOOKUP($B$37:$B$46,Lab_tests!$H$6:$I$47,2,FALSE)))</f>
        <v/>
      </c>
      <c r="F39" s="67" t="str">
        <f t="shared" si="3"/>
        <v/>
      </c>
    </row>
    <row r="40" spans="2:6" x14ac:dyDescent="0.25">
      <c r="B40" s="64"/>
      <c r="C40" s="65"/>
      <c r="D40" s="78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77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77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77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77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77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77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187">
        <f>SUM(F37:F43)</f>
        <v>0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I16</f>
        <v>30.449999999999996</v>
      </c>
    </row>
    <row r="51" spans="2:3" x14ac:dyDescent="0.25">
      <c r="B51" s="72" t="s">
        <v>147</v>
      </c>
      <c r="C51" s="73">
        <f>F31</f>
        <v>4.9390000000000001</v>
      </c>
    </row>
    <row r="52" spans="2:3" x14ac:dyDescent="0.25">
      <c r="B52" s="72" t="s">
        <v>596</v>
      </c>
      <c r="C52" s="73">
        <f>F47</f>
        <v>0</v>
      </c>
    </row>
    <row r="53" spans="2:3" x14ac:dyDescent="0.25">
      <c r="B53" s="186" t="s">
        <v>8</v>
      </c>
      <c r="C53" s="198">
        <f>SUM(C50:C52)</f>
        <v>35.388999999999996</v>
      </c>
    </row>
  </sheetData>
  <sheetProtection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Drugs_list!$C$9:$C$184</xm:f>
          </x14:formula1>
          <xm:sqref>B6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>
    <pageSetUpPr fitToPage="1"/>
  </sheetPr>
  <dimension ref="B1:K53"/>
  <sheetViews>
    <sheetView showGridLines="0" zoomScaleNormal="100" workbookViewId="0">
      <selection activeCell="V30" sqref="V3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540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74" t="s">
        <v>541</v>
      </c>
      <c r="C6" s="65">
        <v>1</v>
      </c>
      <c r="D6" s="65">
        <v>1</v>
      </c>
      <c r="E6" s="75">
        <v>1</v>
      </c>
      <c r="F6" s="66">
        <v>0.33</v>
      </c>
      <c r="G6" s="67">
        <f>C6*D6*E6*F6</f>
        <v>0.33</v>
      </c>
      <c r="H6" s="68">
        <f>IF(G6=0,"",(VLOOKUP($B$6:$B$15,Drugs_list!$C$9:$K$184,7,FALSE)))</f>
        <v>20.88</v>
      </c>
      <c r="I6" s="68">
        <f>IF(G6=0,"",(G6*H6))</f>
        <v>6.8903999999999996</v>
      </c>
      <c r="K6" s="63" t="e">
        <f>VLOOKUP($B$6:$B$15,Drugs_list!$C$9:$K$172,9,FALSE)</f>
        <v>#N/A</v>
      </c>
    </row>
    <row r="7" spans="2:11" x14ac:dyDescent="0.25">
      <c r="B7" s="64" t="s">
        <v>365</v>
      </c>
      <c r="C7" s="65">
        <v>7</v>
      </c>
      <c r="D7" s="65">
        <v>3</v>
      </c>
      <c r="E7" s="76">
        <v>2</v>
      </c>
      <c r="F7" s="66">
        <v>0.33</v>
      </c>
      <c r="G7" s="67">
        <f t="shared" ref="G7:G15" si="0">C7*D7*E7*F7</f>
        <v>13.860000000000001</v>
      </c>
      <c r="H7" s="68">
        <f>IF(G7=0,"",(VLOOKUP($B$6:$B$15,Drugs_list!$C$9:$K$172,7,FALSE)))</f>
        <v>2.7839999999999998</v>
      </c>
      <c r="I7" s="68">
        <f t="shared" ref="I7:I15" si="1">IF(G7=0,"",(G7*H7))</f>
        <v>38.586240000000004</v>
      </c>
      <c r="K7" s="63" t="str">
        <f>VLOOKUP($B$6:$B$15,Drugs_list!$C$9:$K$172,9,FALSE)</f>
        <v>1tab</v>
      </c>
    </row>
    <row r="8" spans="2:11" x14ac:dyDescent="0.25">
      <c r="B8" s="64" t="s">
        <v>145</v>
      </c>
      <c r="C8" s="65">
        <v>1</v>
      </c>
      <c r="D8" s="65">
        <v>1</v>
      </c>
      <c r="E8" s="76">
        <v>0.5</v>
      </c>
      <c r="F8" s="66">
        <v>0.33</v>
      </c>
      <c r="G8" s="67">
        <f t="shared" si="0"/>
        <v>0.16500000000000001</v>
      </c>
      <c r="H8" s="68">
        <f>IF(G8=0,"",(VLOOKUP($B$6:$B$15,Drugs_list!$C$9:$K$172,7,FALSE)))</f>
        <v>33.64</v>
      </c>
      <c r="I8" s="68">
        <f t="shared" si="1"/>
        <v>5.5506000000000002</v>
      </c>
      <c r="K8" s="63" t="str">
        <f>VLOOKUP($B$6:$B$15,Drugs_list!$C$9:$K$172,9,FALSE)</f>
        <v/>
      </c>
    </row>
    <row r="9" spans="2:11" x14ac:dyDescent="0.25">
      <c r="B9" s="64" t="s">
        <v>362</v>
      </c>
      <c r="C9" s="65">
        <v>7</v>
      </c>
      <c r="D9" s="65">
        <v>2</v>
      </c>
      <c r="E9" s="76">
        <v>1</v>
      </c>
      <c r="F9" s="66">
        <v>0.33</v>
      </c>
      <c r="G9" s="67">
        <f t="shared" si="0"/>
        <v>4.62</v>
      </c>
      <c r="H9" s="68">
        <f>IF(G9=0,"",(VLOOKUP($B$6:$B$15,Drugs_list!$C$9:$K$172,7,FALSE)))</f>
        <v>1.3919999999999999</v>
      </c>
      <c r="I9" s="68">
        <f t="shared" si="1"/>
        <v>6.4310399999999994</v>
      </c>
      <c r="K9" s="63" t="str">
        <f>VLOOKUP($B$6:$B$15,Drugs_list!$C$9:$K$172,9,FALSE)</f>
        <v>1tab</v>
      </c>
    </row>
    <row r="10" spans="2:11" x14ac:dyDescent="0.25">
      <c r="B10" s="64" t="s">
        <v>405</v>
      </c>
      <c r="C10" s="65">
        <v>14</v>
      </c>
      <c r="D10" s="65">
        <v>2</v>
      </c>
      <c r="E10" s="76">
        <v>1</v>
      </c>
      <c r="F10" s="66">
        <v>0.33</v>
      </c>
      <c r="G10" s="67">
        <f t="shared" si="0"/>
        <v>9.24</v>
      </c>
      <c r="H10" s="68">
        <f>IF(G10=0,"",(VLOOKUP($B$6:$B$15,Drugs_list!$C$9:$K$172,7,FALSE)))</f>
        <v>0.81199999999999994</v>
      </c>
      <c r="I10" s="68">
        <f t="shared" si="1"/>
        <v>7.5028799999999993</v>
      </c>
      <c r="K10" s="63" t="str">
        <f>VLOOKUP($B$6:$B$15,Drugs_list!$C$9:$K$172,9,FALSE)</f>
        <v>1tab</v>
      </c>
    </row>
    <row r="11" spans="2:11" x14ac:dyDescent="0.25">
      <c r="B11" s="64" t="s">
        <v>405</v>
      </c>
      <c r="C11" s="65">
        <v>7</v>
      </c>
      <c r="D11" s="65">
        <v>2</v>
      </c>
      <c r="E11" s="76">
        <v>1.25</v>
      </c>
      <c r="F11" s="66">
        <v>0.34</v>
      </c>
      <c r="G11" s="67">
        <f t="shared" si="0"/>
        <v>5.95</v>
      </c>
      <c r="H11" s="68">
        <f>IF(G11=0,"",(VLOOKUP($B$6:$B$15,Drugs_list!$C$9:$K$172,7,FALSE)))</f>
        <v>0.81199999999999994</v>
      </c>
      <c r="I11" s="68">
        <f t="shared" si="1"/>
        <v>4.8313999999999995</v>
      </c>
      <c r="K11" s="63" t="str">
        <f>VLOOKUP($B$6:$B$15,Drugs_list!$C$9:$K$172,9,FALSE)</f>
        <v>1tab</v>
      </c>
    </row>
    <row r="12" spans="2:11" x14ac:dyDescent="0.25">
      <c r="B12" s="64" t="s">
        <v>344</v>
      </c>
      <c r="C12" s="65">
        <v>1</v>
      </c>
      <c r="D12" s="65">
        <v>1</v>
      </c>
      <c r="E12" s="65">
        <v>1</v>
      </c>
      <c r="F12" s="66">
        <v>0.34</v>
      </c>
      <c r="G12" s="67">
        <f t="shared" si="0"/>
        <v>0.34</v>
      </c>
      <c r="H12" s="68">
        <f>IF(G12=0,"",(VLOOKUP($B$6:$B$15,Drugs_list!$C$9:$K$172,7,FALSE)))</f>
        <v>3.48</v>
      </c>
      <c r="I12" s="68">
        <f t="shared" si="1"/>
        <v>1.1832</v>
      </c>
      <c r="K12" s="63" t="str">
        <f>VLOOKUP($B$6:$B$15,Drugs_list!$C$9:$K$172,9,FALSE)</f>
        <v>1tab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70.975760000000008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 t="s">
        <v>301</v>
      </c>
      <c r="C21" s="65">
        <v>1</v>
      </c>
      <c r="D21" s="66">
        <v>1</v>
      </c>
      <c r="E21" s="67">
        <f>IF(C21="","",(VLOOKUP($B$21:$B$30,Supplies_list!$C$8:$G$64,5,FALSE)))</f>
        <v>4.4000000000000004</v>
      </c>
      <c r="F21" s="67">
        <f>IF(C21="","",(C21*D21*E21))</f>
        <v>4.4000000000000004</v>
      </c>
    </row>
    <row r="22" spans="2:6" x14ac:dyDescent="0.25">
      <c r="B22" s="64" t="s">
        <v>148</v>
      </c>
      <c r="C22" s="65">
        <v>2</v>
      </c>
      <c r="D22" s="66">
        <v>0.66</v>
      </c>
      <c r="E22" s="67">
        <f>IF(C22="","",(VLOOKUP($B$21:$B$30,Supplies_list!$C$8:$G$64,5,FALSE)))</f>
        <v>3.3</v>
      </c>
      <c r="F22" s="67">
        <f t="shared" ref="F22:F30" si="2">IF(C22="","",(C22*D22*E22))</f>
        <v>4.3559999999999999</v>
      </c>
    </row>
    <row r="23" spans="2:6" x14ac:dyDescent="0.25">
      <c r="B23" s="64" t="s">
        <v>499</v>
      </c>
      <c r="C23" s="65">
        <v>2</v>
      </c>
      <c r="D23" s="66">
        <v>0.66</v>
      </c>
      <c r="E23" s="67">
        <f>IF(C23="","",(VLOOKUP($B$21:$B$30,Supplies_list!$C$8:$G$64,5,FALSE)))</f>
        <v>4.4000000000000004</v>
      </c>
      <c r="F23" s="67">
        <f t="shared" si="2"/>
        <v>5.8080000000000007</v>
      </c>
    </row>
    <row r="24" spans="2:6" x14ac:dyDescent="0.25">
      <c r="B24" s="64" t="s">
        <v>483</v>
      </c>
      <c r="C24" s="70">
        <v>2</v>
      </c>
      <c r="D24" s="71">
        <v>1</v>
      </c>
      <c r="E24" s="67">
        <f>IF(C24="","",(VLOOKUP($B$21:$B$30,Supplies_list!$C$8:$G$64,5,FALSE)))</f>
        <v>4.4219999999999997</v>
      </c>
      <c r="F24" s="67">
        <f t="shared" si="2"/>
        <v>8.8439999999999994</v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23.408000000000001</v>
      </c>
    </row>
    <row r="35" spans="2:6" ht="15.75" x14ac:dyDescent="0.25">
      <c r="B35" s="236" t="s">
        <v>163</v>
      </c>
      <c r="C35" s="236"/>
      <c r="D35" s="236"/>
      <c r="E35" s="236"/>
      <c r="F35" s="236"/>
    </row>
    <row r="36" spans="2:6" ht="30" x14ac:dyDescent="0.25">
      <c r="B36" s="184" t="s">
        <v>0</v>
      </c>
      <c r="C36" s="184" t="s">
        <v>1</v>
      </c>
      <c r="D36" s="184" t="s">
        <v>513</v>
      </c>
      <c r="E36" s="184" t="s">
        <v>159</v>
      </c>
      <c r="F36" s="184" t="s">
        <v>160</v>
      </c>
    </row>
    <row r="37" spans="2:6" x14ac:dyDescent="0.25">
      <c r="B37" s="64" t="s">
        <v>197</v>
      </c>
      <c r="C37" s="65">
        <v>1</v>
      </c>
      <c r="D37" s="77">
        <v>0.33</v>
      </c>
      <c r="E37" s="67">
        <f>IF(B37="","",(VLOOKUP($B$37:$B$46,Lab_tests!$H$6:$I$47,2,FALSE)))</f>
        <v>6</v>
      </c>
      <c r="F37" s="67">
        <f>IF(C37="","",(C37*D37*E37))</f>
        <v>1.98</v>
      </c>
    </row>
    <row r="38" spans="2:6" x14ac:dyDescent="0.25">
      <c r="B38" s="64"/>
      <c r="C38" s="65"/>
      <c r="D38" s="77"/>
      <c r="E38" s="67" t="str">
        <f>IF(B38="","",(VLOOKUP($B$37:$B$46,Lab_tests!$H$6:$I$47,2,FALSE)))</f>
        <v/>
      </c>
      <c r="F38" s="67" t="str">
        <f t="shared" ref="F38:F46" si="3">IF(C38="","",(C38*D38*E38))</f>
        <v/>
      </c>
    </row>
    <row r="39" spans="2:6" x14ac:dyDescent="0.25">
      <c r="B39" s="64"/>
      <c r="C39" s="65"/>
      <c r="D39" s="77"/>
      <c r="E39" s="67" t="str">
        <f>IF(B39="","",(VLOOKUP($B$37:$B$46,Lab_tests!$H$6:$I$47,2,FALSE)))</f>
        <v/>
      </c>
      <c r="F39" s="67" t="str">
        <f t="shared" si="3"/>
        <v/>
      </c>
    </row>
    <row r="40" spans="2:6" x14ac:dyDescent="0.25">
      <c r="B40" s="64"/>
      <c r="C40" s="65"/>
      <c r="D40" s="78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77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77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77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77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77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77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187">
        <f>SUM(F37:F43)</f>
        <v>1.98</v>
      </c>
    </row>
    <row r="49" spans="2:3" x14ac:dyDescent="0.25">
      <c r="B49" s="186" t="s">
        <v>0</v>
      </c>
      <c r="C49" s="194" t="s">
        <v>160</v>
      </c>
    </row>
    <row r="50" spans="2:3" x14ac:dyDescent="0.25">
      <c r="B50" s="72" t="s">
        <v>504</v>
      </c>
      <c r="C50" s="73">
        <f>I16</f>
        <v>70.975760000000008</v>
      </c>
    </row>
    <row r="51" spans="2:3" x14ac:dyDescent="0.25">
      <c r="B51" s="72" t="s">
        <v>147</v>
      </c>
      <c r="C51" s="73">
        <f>F31</f>
        <v>23.408000000000001</v>
      </c>
    </row>
    <row r="52" spans="2:3" x14ac:dyDescent="0.25">
      <c r="B52" s="72" t="s">
        <v>596</v>
      </c>
      <c r="C52" s="73">
        <f>F47</f>
        <v>1.98</v>
      </c>
    </row>
    <row r="53" spans="2:3" x14ac:dyDescent="0.25">
      <c r="B53" s="186" t="s">
        <v>8</v>
      </c>
      <c r="C53" s="198">
        <f>SUM(C50:C52)</f>
        <v>96.363760000000013</v>
      </c>
    </row>
  </sheetData>
  <sheetProtection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1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Drugs_list!$C$9:$C$184</xm:f>
          </x14:formula1>
          <xm:sqref>B6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B7:B15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1:K53"/>
  <sheetViews>
    <sheetView showGridLines="0" zoomScaleNormal="100" workbookViewId="0">
      <selection activeCell="V30" sqref="V3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543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74" t="s">
        <v>450</v>
      </c>
      <c r="C6" s="65">
        <v>42</v>
      </c>
      <c r="D6" s="65">
        <v>2</v>
      </c>
      <c r="E6" s="75">
        <v>1</v>
      </c>
      <c r="F6" s="66">
        <v>0.8</v>
      </c>
      <c r="G6" s="67">
        <f>C6*D6*E6*F6</f>
        <v>67.2</v>
      </c>
      <c r="H6" s="68">
        <f>IF(G6=0,"",(VLOOKUP($B$6:$B$15,Drugs_list!$C$9:$K$184,7,FALSE)))</f>
        <v>2.552</v>
      </c>
      <c r="I6" s="68">
        <f>IF(G6=0,"",(G6*H6))</f>
        <v>171.49440000000001</v>
      </c>
      <c r="K6" s="63" t="str">
        <f>VLOOKUP($B$6:$B$15,Drugs_list!$C$9:$K$172,9,FALSE)</f>
        <v>1mg</v>
      </c>
    </row>
    <row r="7" spans="2:11" x14ac:dyDescent="0.25">
      <c r="B7" s="74" t="s">
        <v>450</v>
      </c>
      <c r="C7" s="65">
        <v>90</v>
      </c>
      <c r="D7" s="65">
        <v>2</v>
      </c>
      <c r="E7" s="76">
        <v>1</v>
      </c>
      <c r="F7" s="66">
        <v>0.2</v>
      </c>
      <c r="G7" s="67">
        <f t="shared" ref="G7:G15" si="0">C7*D7*E7*F7</f>
        <v>36</v>
      </c>
      <c r="H7" s="68">
        <f>IF(G7=0,"",(VLOOKUP($B$6:$B$15,Drugs_list!$C$9:$K$172,7,FALSE)))</f>
        <v>2.552</v>
      </c>
      <c r="I7" s="68">
        <f t="shared" ref="I7:I15" si="1">IF(G7=0,"",(G7*H7))</f>
        <v>91.872</v>
      </c>
      <c r="K7" s="63" t="str">
        <f>VLOOKUP($B$6:$B$15,Drugs_list!$C$9:$K$172,9,FALSE)</f>
        <v>1mg</v>
      </c>
    </row>
    <row r="8" spans="2:11" x14ac:dyDescent="0.25">
      <c r="B8" s="64" t="s">
        <v>449</v>
      </c>
      <c r="C8" s="65">
        <v>1</v>
      </c>
      <c r="D8" s="65">
        <v>1</v>
      </c>
      <c r="E8" s="76">
        <v>1</v>
      </c>
      <c r="F8" s="66">
        <v>1</v>
      </c>
      <c r="G8" s="67">
        <f t="shared" si="0"/>
        <v>1</v>
      </c>
      <c r="H8" s="68">
        <f>IF(G8=0,"",(VLOOKUP($B$6:$B$15,Drugs_list!$C$9:$K$172,7,FALSE)))</f>
        <v>19.72</v>
      </c>
      <c r="I8" s="68">
        <f t="shared" si="1"/>
        <v>19.72</v>
      </c>
      <c r="K8" s="63" t="str">
        <f>VLOOKUP($B$6:$B$15,Drugs_list!$C$9:$K$172,9,FALSE)</f>
        <v>10ml</v>
      </c>
    </row>
    <row r="9" spans="2:11" x14ac:dyDescent="0.25">
      <c r="B9" s="64"/>
      <c r="C9" s="65"/>
      <c r="D9" s="65"/>
      <c r="E9" s="76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6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6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283.08640000000003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6" ht="15.75" x14ac:dyDescent="0.25">
      <c r="B35" s="236" t="s">
        <v>163</v>
      </c>
      <c r="C35" s="236"/>
      <c r="D35" s="236"/>
      <c r="E35" s="236"/>
      <c r="F35" s="236"/>
    </row>
    <row r="36" spans="2:6" ht="30" x14ac:dyDescent="0.25">
      <c r="B36" s="184" t="s">
        <v>0</v>
      </c>
      <c r="C36" s="184" t="s">
        <v>1</v>
      </c>
      <c r="D36" s="184" t="s">
        <v>513</v>
      </c>
      <c r="E36" s="184" t="s">
        <v>159</v>
      </c>
      <c r="F36" s="184" t="s">
        <v>160</v>
      </c>
    </row>
    <row r="37" spans="2:6" x14ac:dyDescent="0.25">
      <c r="B37" s="64"/>
      <c r="C37" s="65"/>
      <c r="D37" s="77"/>
      <c r="E37" s="67" t="str">
        <f>IF(B37="","",(VLOOKUP($B$37:$B$46,Lab_tests!$H$6:$I$47,2,FALSE)))</f>
        <v/>
      </c>
      <c r="F37" s="67" t="str">
        <f>IF(C37="","",(C37*D37*E37))</f>
        <v/>
      </c>
    </row>
    <row r="38" spans="2:6" x14ac:dyDescent="0.25">
      <c r="B38" s="64"/>
      <c r="C38" s="65"/>
      <c r="D38" s="77"/>
      <c r="E38" s="67" t="str">
        <f>IF(B38="","",(VLOOKUP($B$37:$B$46,Lab_tests!$H$6:$I$47,2,FALSE)))</f>
        <v/>
      </c>
      <c r="F38" s="67" t="str">
        <f t="shared" ref="F38:F46" si="3">IF(C38="","",(C38*D38*E38))</f>
        <v/>
      </c>
    </row>
    <row r="39" spans="2:6" x14ac:dyDescent="0.25">
      <c r="B39" s="64"/>
      <c r="C39" s="65"/>
      <c r="D39" s="77"/>
      <c r="E39" s="67" t="str">
        <f>IF(B39="","",(VLOOKUP($B$37:$B$46,Lab_tests!$H$6:$I$47,2,FALSE)))</f>
        <v/>
      </c>
      <c r="F39" s="67" t="str">
        <f t="shared" si="3"/>
        <v/>
      </c>
    </row>
    <row r="40" spans="2:6" x14ac:dyDescent="0.25">
      <c r="B40" s="64"/>
      <c r="C40" s="65"/>
      <c r="D40" s="78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77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77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77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77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77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77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187">
        <f>SUM(F37:F43)</f>
        <v>0</v>
      </c>
    </row>
    <row r="49" spans="2:3" x14ac:dyDescent="0.25">
      <c r="B49" s="186" t="s">
        <v>0</v>
      </c>
      <c r="C49" s="194" t="s">
        <v>160</v>
      </c>
    </row>
    <row r="50" spans="2:3" x14ac:dyDescent="0.25">
      <c r="B50" s="72" t="s">
        <v>504</v>
      </c>
      <c r="C50" s="73">
        <f>I16</f>
        <v>283.08640000000003</v>
      </c>
    </row>
    <row r="51" spans="2:3" x14ac:dyDescent="0.25">
      <c r="B51" s="72" t="s">
        <v>147</v>
      </c>
      <c r="C51" s="73">
        <f>F31</f>
        <v>0</v>
      </c>
    </row>
    <row r="52" spans="2:3" x14ac:dyDescent="0.25">
      <c r="B52" s="72" t="s">
        <v>596</v>
      </c>
      <c r="C52" s="73">
        <f>F47</f>
        <v>0</v>
      </c>
    </row>
    <row r="53" spans="2:3" x14ac:dyDescent="0.25">
      <c r="B53" s="186" t="s">
        <v>8</v>
      </c>
      <c r="C53" s="198">
        <f>SUM(C50:C52)</f>
        <v>283.08640000000003</v>
      </c>
    </row>
  </sheetData>
  <sheetProtection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B8:B15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Drugs_list!$C$9:$C$184</xm:f>
          </x14:formula1>
          <xm:sqref>B6:B7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1:K53"/>
  <sheetViews>
    <sheetView showGridLines="0" zoomScaleNormal="100" workbookViewId="0">
      <selection activeCell="Q33" sqref="Q33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546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74" t="s">
        <v>318</v>
      </c>
      <c r="C6" s="65">
        <v>3</v>
      </c>
      <c r="D6" s="65">
        <v>3</v>
      </c>
      <c r="E6" s="75">
        <v>2</v>
      </c>
      <c r="F6" s="66">
        <v>1</v>
      </c>
      <c r="G6" s="67">
        <f>C6*D6*E6*F6</f>
        <v>18</v>
      </c>
      <c r="H6" s="68">
        <f>IF(G6=0,"",(VLOOKUP($B$6:$B$15,Drugs_list!$C$9:$K$184,7,FALSE)))</f>
        <v>2.9</v>
      </c>
      <c r="I6" s="68">
        <f>IF(G6=0,"",(G6*H6))</f>
        <v>52.199999999999996</v>
      </c>
      <c r="K6" s="63" t="str">
        <f>VLOOKUP($B$6:$B$15,Drugs_list!$C$9:$K$172,9,FALSE)</f>
        <v>1tab</v>
      </c>
    </row>
    <row r="7" spans="2:11" x14ac:dyDescent="0.25">
      <c r="B7" s="74" t="s">
        <v>20</v>
      </c>
      <c r="C7" s="65">
        <v>2</v>
      </c>
      <c r="D7" s="65">
        <v>4</v>
      </c>
      <c r="E7" s="76">
        <v>1</v>
      </c>
      <c r="F7" s="66">
        <v>1</v>
      </c>
      <c r="G7" s="67">
        <f t="shared" ref="G7:G15" si="0">C7*D7*E7*F7</f>
        <v>8</v>
      </c>
      <c r="H7" s="68">
        <f>IF(G7=0,"",(VLOOKUP($B$6:$B$15,Drugs_list!$C$9:$K$172,7,FALSE)))</f>
        <v>0.52200000000000002</v>
      </c>
      <c r="I7" s="68">
        <f t="shared" ref="I7:I15" si="1">IF(G7=0,"",(G7*H7))</f>
        <v>4.1760000000000002</v>
      </c>
      <c r="K7" s="63" t="str">
        <f>VLOOKUP($B$6:$B$15,Drugs_list!$C$9:$K$172,9,FALSE)</f>
        <v>1tab</v>
      </c>
    </row>
    <row r="8" spans="2:11" x14ac:dyDescent="0.25">
      <c r="B8" s="64"/>
      <c r="C8" s="65"/>
      <c r="D8" s="65"/>
      <c r="E8" s="76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6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6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6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56.375999999999998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 t="s">
        <v>483</v>
      </c>
      <c r="C21" s="65">
        <v>1</v>
      </c>
      <c r="D21" s="66">
        <v>1</v>
      </c>
      <c r="E21" s="67">
        <f>IF(C21="","",(VLOOKUP($B$21:$B$30,Supplies_list!$C$8:$G$64,5,FALSE)))</f>
        <v>4.4219999999999997</v>
      </c>
      <c r="F21" s="67">
        <f>IF(C21="","",(C21*D21*E21))</f>
        <v>4.4219999999999997</v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4.4219999999999997</v>
      </c>
    </row>
    <row r="35" spans="2:6" ht="15.75" x14ac:dyDescent="0.25">
      <c r="B35" s="236" t="s">
        <v>163</v>
      </c>
      <c r="C35" s="236"/>
      <c r="D35" s="236"/>
      <c r="E35" s="236"/>
      <c r="F35" s="236"/>
    </row>
    <row r="36" spans="2:6" ht="30" x14ac:dyDescent="0.25">
      <c r="B36" s="184" t="s">
        <v>0</v>
      </c>
      <c r="C36" s="184" t="s">
        <v>1</v>
      </c>
      <c r="D36" s="184" t="s">
        <v>513</v>
      </c>
      <c r="E36" s="184" t="s">
        <v>159</v>
      </c>
      <c r="F36" s="184" t="s">
        <v>160</v>
      </c>
    </row>
    <row r="37" spans="2:6" x14ac:dyDescent="0.25">
      <c r="B37" s="64" t="s">
        <v>203</v>
      </c>
      <c r="C37" s="65">
        <v>1</v>
      </c>
      <c r="D37" s="77">
        <v>1</v>
      </c>
      <c r="E37" s="67">
        <f>IF(B37="","",(VLOOKUP($B$37:$B$46,Lab_tests!$H$6:$I$47,2,FALSE)))</f>
        <v>8.5</v>
      </c>
      <c r="F37" s="67">
        <f>IF(C37="","",(C37*D37*E37))</f>
        <v>8.5</v>
      </c>
    </row>
    <row r="38" spans="2:6" x14ac:dyDescent="0.25">
      <c r="B38" s="64"/>
      <c r="C38" s="65"/>
      <c r="D38" s="77"/>
      <c r="E38" s="67" t="str">
        <f>IF(B38="","",(VLOOKUP($B$37:$B$46,Lab_tests!$H$6:$I$47,2,FALSE)))</f>
        <v/>
      </c>
      <c r="F38" s="67" t="str">
        <f t="shared" ref="F38:F46" si="3">IF(C38="","",(C38*D38*E38))</f>
        <v/>
      </c>
    </row>
    <row r="39" spans="2:6" x14ac:dyDescent="0.25">
      <c r="B39" s="64"/>
      <c r="C39" s="65"/>
      <c r="D39" s="77"/>
      <c r="E39" s="67" t="str">
        <f>IF(B39="","",(VLOOKUP($B$37:$B$46,Lab_tests!$H$6:$I$47,2,FALSE)))</f>
        <v/>
      </c>
      <c r="F39" s="67" t="str">
        <f t="shared" si="3"/>
        <v/>
      </c>
    </row>
    <row r="40" spans="2:6" x14ac:dyDescent="0.25">
      <c r="B40" s="64"/>
      <c r="C40" s="65"/>
      <c r="D40" s="78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77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77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77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77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77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77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187">
        <f>SUM(F37:F43)</f>
        <v>8.5</v>
      </c>
    </row>
    <row r="49" spans="2:3" x14ac:dyDescent="0.25">
      <c r="B49" s="186" t="s">
        <v>0</v>
      </c>
      <c r="C49" s="194" t="s">
        <v>160</v>
      </c>
    </row>
    <row r="50" spans="2:3" x14ac:dyDescent="0.25">
      <c r="B50" s="72" t="s">
        <v>504</v>
      </c>
      <c r="C50" s="73">
        <f>I16</f>
        <v>56.375999999999998</v>
      </c>
    </row>
    <row r="51" spans="2:3" x14ac:dyDescent="0.25">
      <c r="B51" s="72" t="s">
        <v>147</v>
      </c>
      <c r="C51" s="73">
        <f>F31</f>
        <v>4.4219999999999997</v>
      </c>
    </row>
    <row r="52" spans="2:3" x14ac:dyDescent="0.25">
      <c r="B52" s="72" t="s">
        <v>596</v>
      </c>
      <c r="C52" s="73">
        <f>F47</f>
        <v>8.5</v>
      </c>
    </row>
    <row r="53" spans="2:3" x14ac:dyDescent="0.25">
      <c r="B53" s="186" t="s">
        <v>8</v>
      </c>
      <c r="C53" s="198">
        <f>SUM(C50:C52)</f>
        <v>69.298000000000002</v>
      </c>
    </row>
  </sheetData>
  <sheetProtection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Drugs_list!$C$9:$C$184</xm:f>
          </x14:formula1>
          <xm:sqref>B6:B7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B8:B15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1:K53"/>
  <sheetViews>
    <sheetView showGridLines="0" zoomScaleNormal="100" workbookViewId="0">
      <selection activeCell="V30" sqref="V3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548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84" t="s">
        <v>8</v>
      </c>
      <c r="H5" s="184" t="s">
        <v>2</v>
      </c>
      <c r="I5" s="239"/>
    </row>
    <row r="6" spans="2:11" x14ac:dyDescent="0.25">
      <c r="B6" s="74" t="s">
        <v>458</v>
      </c>
      <c r="C6" s="65">
        <v>1</v>
      </c>
      <c r="D6" s="65">
        <v>2</v>
      </c>
      <c r="E6" s="75">
        <v>4</v>
      </c>
      <c r="F6" s="66">
        <v>1</v>
      </c>
      <c r="G6" s="67">
        <f>C6*D6*E6*F6</f>
        <v>8</v>
      </c>
      <c r="H6" s="68">
        <f>IF(G6=0,"",(VLOOKUP($B$6:$B$15,Drugs_list!$C$9:$K$184,7,FALSE)))</f>
        <v>1.7747999999999999</v>
      </c>
      <c r="I6" s="68">
        <f>IF(G6=0,"",(G6*H6))</f>
        <v>14.198399999999999</v>
      </c>
      <c r="K6" s="63" t="str">
        <f>VLOOKUP($B$6:$B$15,Drugs_list!$C$9:$K$172,9,FALSE)</f>
        <v>1tab</v>
      </c>
    </row>
    <row r="7" spans="2:11" x14ac:dyDescent="0.25">
      <c r="B7" s="74"/>
      <c r="C7" s="65"/>
      <c r="D7" s="65"/>
      <c r="E7" s="76"/>
      <c r="F7" s="66"/>
      <c r="G7" s="67">
        <f t="shared" ref="G7:G15" si="0">C7*D7*E7*F7</f>
        <v>0</v>
      </c>
      <c r="H7" s="68" t="str">
        <f>IF(G7=0,"",(VLOOKUP($B$6:$B$15,Drugs_list!$C$9:$K$172,7,FALSE)))</f>
        <v/>
      </c>
      <c r="I7" s="68" t="str">
        <f t="shared" ref="I7:I15" si="1">IF(G7=0,"",(G7*H7))</f>
        <v/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76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6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6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6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14.198399999999999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84" t="s">
        <v>1</v>
      </c>
      <c r="D20" s="184" t="s">
        <v>513</v>
      </c>
      <c r="E20" s="184" t="s">
        <v>159</v>
      </c>
      <c r="F20" s="184" t="s">
        <v>160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6" ht="15.75" x14ac:dyDescent="0.25">
      <c r="B35" s="236" t="s">
        <v>163</v>
      </c>
      <c r="C35" s="236"/>
      <c r="D35" s="236"/>
      <c r="E35" s="236"/>
      <c r="F35" s="236"/>
    </row>
    <row r="36" spans="2:6" ht="30" x14ac:dyDescent="0.25">
      <c r="B36" s="184" t="s">
        <v>0</v>
      </c>
      <c r="C36" s="184" t="s">
        <v>1</v>
      </c>
      <c r="D36" s="184" t="s">
        <v>513</v>
      </c>
      <c r="E36" s="184" t="s">
        <v>159</v>
      </c>
      <c r="F36" s="184" t="s">
        <v>160</v>
      </c>
    </row>
    <row r="37" spans="2:6" x14ac:dyDescent="0.25">
      <c r="B37" s="64"/>
      <c r="C37" s="65"/>
      <c r="D37" s="77"/>
      <c r="E37" s="67" t="str">
        <f>IF(B37="","",(VLOOKUP($B$37:$B$46,Lab_tests!$H$6:$I$47,2,FALSE)))</f>
        <v/>
      </c>
      <c r="F37" s="67" t="str">
        <f>IF(C37="","",(C37*D37*E37))</f>
        <v/>
      </c>
    </row>
    <row r="38" spans="2:6" x14ac:dyDescent="0.25">
      <c r="B38" s="64"/>
      <c r="C38" s="65"/>
      <c r="D38" s="77"/>
      <c r="E38" s="67" t="str">
        <f>IF(B38="","",(VLOOKUP($B$37:$B$46,Lab_tests!$H$6:$I$47,2,FALSE)))</f>
        <v/>
      </c>
      <c r="F38" s="67" t="str">
        <f t="shared" ref="F38:F46" si="3">IF(C38="","",(C38*D38*E38))</f>
        <v/>
      </c>
    </row>
    <row r="39" spans="2:6" x14ac:dyDescent="0.25">
      <c r="B39" s="64"/>
      <c r="C39" s="65"/>
      <c r="D39" s="77"/>
      <c r="E39" s="67" t="str">
        <f>IF(B39="","",(VLOOKUP($B$37:$B$46,Lab_tests!$H$6:$I$47,2,FALSE)))</f>
        <v/>
      </c>
      <c r="F39" s="67" t="str">
        <f t="shared" si="3"/>
        <v/>
      </c>
    </row>
    <row r="40" spans="2:6" x14ac:dyDescent="0.25">
      <c r="B40" s="64"/>
      <c r="C40" s="65"/>
      <c r="D40" s="78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77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77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77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77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77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77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187">
        <f>SUM(F37:F43)</f>
        <v>0</v>
      </c>
    </row>
    <row r="53" spans="2:3" x14ac:dyDescent="0.25">
      <c r="B53" s="172"/>
      <c r="C53" s="172"/>
    </row>
  </sheetData>
  <sheetProtection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B8:B15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Drugs_list!$C$9:$C$184</xm:f>
          </x14:formula1>
          <xm:sqref>B6:B7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1:K53"/>
  <sheetViews>
    <sheetView showGridLines="0" zoomScaleNormal="100" workbookViewId="0">
      <selection activeCell="V30" sqref="V3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943</v>
      </c>
    </row>
    <row r="3" spans="2:11" ht="15.75" x14ac:dyDescent="0.25">
      <c r="B3" s="236" t="s">
        <v>161</v>
      </c>
      <c r="C3" s="236"/>
      <c r="D3" s="236"/>
      <c r="E3" s="236"/>
      <c r="F3" s="236"/>
      <c r="G3" s="236"/>
      <c r="H3" s="236"/>
      <c r="I3" s="236"/>
    </row>
    <row r="4" spans="2:11" ht="15" customHeight="1" x14ac:dyDescent="0.25">
      <c r="B4" s="244" t="s">
        <v>0</v>
      </c>
      <c r="C4" s="246" t="s">
        <v>5</v>
      </c>
      <c r="D4" s="246"/>
      <c r="E4" s="246" t="s">
        <v>6</v>
      </c>
      <c r="F4" s="242" t="s">
        <v>513</v>
      </c>
      <c r="G4" s="240" t="s">
        <v>3</v>
      </c>
      <c r="H4" s="241"/>
      <c r="I4" s="239" t="s">
        <v>9</v>
      </c>
    </row>
    <row r="5" spans="2:11" x14ac:dyDescent="0.25">
      <c r="B5" s="245"/>
      <c r="C5" s="201" t="s">
        <v>4</v>
      </c>
      <c r="D5" s="201" t="s">
        <v>7</v>
      </c>
      <c r="E5" s="246"/>
      <c r="F5" s="243"/>
      <c r="G5" s="194" t="s">
        <v>8</v>
      </c>
      <c r="H5" s="194" t="s">
        <v>2</v>
      </c>
      <c r="I5" s="239"/>
    </row>
    <row r="6" spans="2:11" x14ac:dyDescent="0.25">
      <c r="B6" s="74"/>
      <c r="C6" s="65"/>
      <c r="D6" s="65"/>
      <c r="E6" s="75"/>
      <c r="F6" s="66"/>
      <c r="G6" s="67">
        <f>C6*D6*E6*F6</f>
        <v>0</v>
      </c>
      <c r="H6" s="68" t="str">
        <f>IF(G6=0,"",(VLOOKUP($B$6:$B$15,Drugs_list!$C$9:$K$184,7,FALSE)))</f>
        <v/>
      </c>
      <c r="I6" s="68" t="str">
        <f>IF(G6=0,"",(G6*H6))</f>
        <v/>
      </c>
      <c r="K6" s="63" t="e">
        <f>VLOOKUP($B$6:$B$15,Drugs_list!$C$9:$K$172,9,FALSE)</f>
        <v>#N/A</v>
      </c>
    </row>
    <row r="7" spans="2:11" x14ac:dyDescent="0.25">
      <c r="B7" s="74" t="s">
        <v>941</v>
      </c>
      <c r="C7" s="65">
        <v>60</v>
      </c>
      <c r="D7" s="65">
        <v>1</v>
      </c>
      <c r="E7" s="76">
        <v>1</v>
      </c>
      <c r="F7" s="66">
        <v>1</v>
      </c>
      <c r="G7" s="67">
        <f t="shared" ref="G7:G15" si="0">C7*D7*E7*F7</f>
        <v>60</v>
      </c>
      <c r="H7" s="68">
        <f>IF(G7=0,"",(VLOOKUP($B$6:$B$15,Drugs_list!$C$9:$K$178,7,FALSE)))</f>
        <v>3.2479999999999998</v>
      </c>
      <c r="I7" s="68">
        <f t="shared" ref="I7:I15" si="1">IF(G7=0,"",(G7*H7))</f>
        <v>194.88</v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76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6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6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6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194.88</v>
      </c>
    </row>
    <row r="19" spans="2:6" ht="15.75" x14ac:dyDescent="0.25">
      <c r="B19" s="236" t="s">
        <v>162</v>
      </c>
      <c r="C19" s="236"/>
      <c r="D19" s="236"/>
      <c r="E19" s="236"/>
      <c r="F19" s="236"/>
    </row>
    <row r="20" spans="2:6" ht="19.5" customHeight="1" x14ac:dyDescent="0.25">
      <c r="B20" s="197" t="s">
        <v>0</v>
      </c>
      <c r="C20" s="194" t="s">
        <v>1</v>
      </c>
      <c r="D20" s="194" t="s">
        <v>513</v>
      </c>
      <c r="E20" s="194" t="s">
        <v>159</v>
      </c>
      <c r="F20" s="194" t="s">
        <v>160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70"/>
      <c r="D24" s="71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6" ht="15.75" x14ac:dyDescent="0.25">
      <c r="B35" s="236" t="s">
        <v>163</v>
      </c>
      <c r="C35" s="236"/>
      <c r="D35" s="236"/>
      <c r="E35" s="236"/>
      <c r="F35" s="236"/>
    </row>
    <row r="36" spans="2:6" ht="30" x14ac:dyDescent="0.25">
      <c r="B36" s="194" t="s">
        <v>0</v>
      </c>
      <c r="C36" s="194" t="s">
        <v>1</v>
      </c>
      <c r="D36" s="194" t="s">
        <v>513</v>
      </c>
      <c r="E36" s="194" t="s">
        <v>159</v>
      </c>
      <c r="F36" s="194" t="s">
        <v>160</v>
      </c>
    </row>
    <row r="37" spans="2:6" x14ac:dyDescent="0.25">
      <c r="B37" s="64"/>
      <c r="C37" s="65"/>
      <c r="D37" s="77"/>
      <c r="E37" s="67" t="str">
        <f>IF(B37="","",(VLOOKUP($B$37:$B$46,Lab_tests!$H$6:$I$47,2,FALSE)))</f>
        <v/>
      </c>
      <c r="F37" s="67" t="str">
        <f>IF(C37="","",(C37*D37*E37))</f>
        <v/>
      </c>
    </row>
    <row r="38" spans="2:6" x14ac:dyDescent="0.25">
      <c r="B38" s="64"/>
      <c r="C38" s="65"/>
      <c r="D38" s="77"/>
      <c r="E38" s="67" t="str">
        <f>IF(B38="","",(VLOOKUP($B$37:$B$46,Lab_tests!$H$6:$I$47,2,FALSE)))</f>
        <v/>
      </c>
      <c r="F38" s="67" t="str">
        <f t="shared" ref="F38:F46" si="3">IF(C38="","",(C38*D38*E38))</f>
        <v/>
      </c>
    </row>
    <row r="39" spans="2:6" x14ac:dyDescent="0.25">
      <c r="B39" s="64"/>
      <c r="C39" s="65"/>
      <c r="D39" s="77"/>
      <c r="E39" s="67" t="str">
        <f>IF(B39="","",(VLOOKUP($B$37:$B$46,Lab_tests!$H$6:$I$47,2,FALSE)))</f>
        <v/>
      </c>
      <c r="F39" s="67" t="str">
        <f t="shared" si="3"/>
        <v/>
      </c>
    </row>
    <row r="40" spans="2:6" x14ac:dyDescent="0.25">
      <c r="B40" s="64"/>
      <c r="C40" s="65"/>
      <c r="D40" s="78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77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77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77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77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77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77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187">
        <f>SUM(F37:F43)</f>
        <v>0</v>
      </c>
    </row>
    <row r="53" spans="2:3" x14ac:dyDescent="0.25">
      <c r="B53" s="172"/>
      <c r="C53" s="172"/>
    </row>
  </sheetData>
  <sheetProtection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dataValidations count="1">
    <dataValidation type="list" allowBlank="1" showInputMessage="1" showErrorMessage="1" sqref="B6">
      <formula1>"Drugs_list!$C$9:$C$176$184"</formula1>
    </dataValidation>
  </dataValidations>
  <pageMargins left="0.25" right="0.25" top="0.75" bottom="0.75" header="0.3" footer="0.3"/>
  <pageSetup paperSize="9" scale="6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Drugs_list!$C$9:$C$184</xm:f>
          </x14:formula1>
          <xm:sqref>B7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B8:B15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3:AB129"/>
  <sheetViews>
    <sheetView showGridLines="0" topLeftCell="B1" zoomScale="130" zoomScaleNormal="130" workbookViewId="0">
      <selection activeCell="F14" sqref="F14 J14"/>
    </sheetView>
  </sheetViews>
  <sheetFormatPr defaultRowHeight="15" x14ac:dyDescent="0.25"/>
  <cols>
    <col min="1" max="1" width="22.85546875" style="63" hidden="1" customWidth="1"/>
    <col min="2" max="2" width="3.42578125" style="63" customWidth="1"/>
    <col min="3" max="3" width="36.5703125" style="63" bestFit="1" customWidth="1"/>
    <col min="4" max="4" width="8.140625" style="63" bestFit="1" customWidth="1"/>
    <col min="5" max="5" width="11.28515625" style="63" bestFit="1" customWidth="1"/>
    <col min="6" max="6" width="10.42578125" style="63" customWidth="1"/>
    <col min="7" max="8" width="10.42578125" style="63" bestFit="1" customWidth="1"/>
    <col min="9" max="9" width="8.42578125" style="63" hidden="1" customWidth="1"/>
    <col min="10" max="10" width="8.5703125" style="63" bestFit="1" customWidth="1"/>
    <col min="11" max="11" width="8.28515625" style="63" hidden="1" customWidth="1"/>
    <col min="12" max="12" width="10.42578125" style="63" hidden="1" customWidth="1"/>
    <col min="13" max="13" width="8.7109375" style="63" hidden="1" customWidth="1"/>
    <col min="14" max="14" width="10.42578125" style="63" bestFit="1" customWidth="1"/>
    <col min="15" max="15" width="8.42578125" style="63" customWidth="1"/>
    <col min="16" max="16" width="10.7109375" style="63" bestFit="1" customWidth="1"/>
    <col min="17" max="17" width="9.42578125" style="63" bestFit="1" customWidth="1"/>
    <col min="18" max="18" width="10" style="63" customWidth="1"/>
    <col min="19" max="20" width="10.42578125" style="63" bestFit="1" customWidth="1"/>
    <col min="21" max="21" width="0" style="63" hidden="1" customWidth="1"/>
    <col min="22" max="22" width="9.42578125" style="63" bestFit="1" customWidth="1"/>
    <col min="23" max="25" width="0" style="63" hidden="1" customWidth="1"/>
    <col min="26" max="26" width="10.42578125" style="63" bestFit="1" customWidth="1"/>
    <col min="27" max="27" width="10.85546875" style="63" customWidth="1"/>
    <col min="28" max="28" width="0" style="63" hidden="1" customWidth="1"/>
    <col min="29" max="16384" width="9.140625" style="63"/>
  </cols>
  <sheetData>
    <row r="3" spans="1:28" ht="15" customHeight="1" x14ac:dyDescent="0.25">
      <c r="C3" s="256" t="s">
        <v>23</v>
      </c>
      <c r="D3" s="257" t="s">
        <v>969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9"/>
      <c r="P3" s="260" t="s">
        <v>970</v>
      </c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</row>
    <row r="4" spans="1:28" ht="45" x14ac:dyDescent="0.25">
      <c r="C4" s="256"/>
      <c r="D4" s="184" t="s">
        <v>136</v>
      </c>
      <c r="E4" s="184" t="s">
        <v>953</v>
      </c>
      <c r="F4" s="184" t="s">
        <v>960</v>
      </c>
      <c r="G4" s="184" t="s">
        <v>140</v>
      </c>
      <c r="H4" s="184" t="s">
        <v>141</v>
      </c>
      <c r="I4" s="184" t="s">
        <v>134</v>
      </c>
      <c r="J4" s="184" t="s">
        <v>142</v>
      </c>
      <c r="K4" s="184" t="s">
        <v>135</v>
      </c>
      <c r="L4" s="184" t="s">
        <v>143</v>
      </c>
      <c r="M4" s="184" t="s">
        <v>137</v>
      </c>
      <c r="N4" s="184" t="s">
        <v>961</v>
      </c>
      <c r="O4" s="184" t="s">
        <v>598</v>
      </c>
      <c r="P4" s="184" t="s">
        <v>136</v>
      </c>
      <c r="Q4" s="184" t="s">
        <v>953</v>
      </c>
      <c r="R4" s="184" t="s">
        <v>960</v>
      </c>
      <c r="S4" s="184" t="s">
        <v>140</v>
      </c>
      <c r="T4" s="184" t="s">
        <v>141</v>
      </c>
      <c r="U4" s="184" t="s">
        <v>134</v>
      </c>
      <c r="V4" s="184" t="s">
        <v>142</v>
      </c>
      <c r="W4" s="184" t="s">
        <v>135</v>
      </c>
      <c r="X4" s="184" t="s">
        <v>143</v>
      </c>
      <c r="Y4" s="184" t="s">
        <v>137</v>
      </c>
      <c r="Z4" s="184" t="s">
        <v>961</v>
      </c>
      <c r="AA4" s="184" t="s">
        <v>598</v>
      </c>
    </row>
    <row r="5" spans="1:28" x14ac:dyDescent="0.25">
      <c r="C5" s="67" t="s">
        <v>247</v>
      </c>
      <c r="D5" s="67">
        <v>10</v>
      </c>
      <c r="E5" s="67">
        <v>80</v>
      </c>
      <c r="F5" s="67">
        <v>10</v>
      </c>
      <c r="G5" s="67">
        <v>0</v>
      </c>
      <c r="H5" s="67">
        <v>0</v>
      </c>
      <c r="I5" s="67">
        <v>0</v>
      </c>
      <c r="J5" s="67">
        <v>20</v>
      </c>
      <c r="K5" s="67">
        <v>0</v>
      </c>
      <c r="L5" s="67">
        <v>0</v>
      </c>
      <c r="M5" s="67">
        <v>0</v>
      </c>
      <c r="N5" s="67">
        <v>0</v>
      </c>
      <c r="O5" s="189">
        <f>SUM(D5:N5)</f>
        <v>120</v>
      </c>
      <c r="P5" s="85">
        <f>D5*Staff_cost!$I$4</f>
        <v>50.568750000000009</v>
      </c>
      <c r="Q5" s="85">
        <f>E5*Staff_cost!$I$6</f>
        <v>175.07249999999999</v>
      </c>
      <c r="R5" s="85">
        <f>F5*Staff_cost!$I$8</f>
        <v>17.7920625</v>
      </c>
      <c r="S5" s="85">
        <f>G5*Staff_cost!$I$10</f>
        <v>0</v>
      </c>
      <c r="T5" s="85">
        <f>H5*Staff_cost!$I$11</f>
        <v>0</v>
      </c>
      <c r="U5" s="85"/>
      <c r="V5" s="85">
        <f>J5*Staff_cost!$I$13</f>
        <v>35.584125</v>
      </c>
      <c r="W5" s="85"/>
      <c r="X5" s="85"/>
      <c r="Y5" s="85"/>
      <c r="Z5" s="85">
        <f>N5*Staff_cost!$I$6</f>
        <v>0</v>
      </c>
      <c r="AA5" s="185">
        <f>SUM(P5:Z5)</f>
        <v>279.01743750000003</v>
      </c>
      <c r="AB5" s="84" t="str">
        <f>C5</f>
        <v>Antenatal Care (4 visits package)</v>
      </c>
    </row>
    <row r="6" spans="1:28" hidden="1" x14ac:dyDescent="0.25">
      <c r="C6" s="67" t="s">
        <v>251</v>
      </c>
      <c r="D6" s="67">
        <v>0</v>
      </c>
      <c r="E6" s="67">
        <v>120</v>
      </c>
      <c r="F6" s="67">
        <v>5</v>
      </c>
      <c r="G6" s="67">
        <v>0</v>
      </c>
      <c r="H6" s="67">
        <v>0</v>
      </c>
      <c r="I6" s="67">
        <v>0</v>
      </c>
      <c r="J6" s="67">
        <v>120</v>
      </c>
      <c r="K6" s="67">
        <v>0</v>
      </c>
      <c r="L6" s="67">
        <v>0</v>
      </c>
      <c r="M6" s="67">
        <v>0</v>
      </c>
      <c r="N6" s="67">
        <v>0</v>
      </c>
      <c r="O6" s="189">
        <f t="shared" ref="O6:O65" si="0">SUM(D6:N6)</f>
        <v>245</v>
      </c>
      <c r="P6" s="85">
        <f>D6*Staff_cost!$I$4</f>
        <v>0</v>
      </c>
      <c r="Q6" s="85">
        <f>E6*Staff_cost!$I$6</f>
        <v>262.60874999999999</v>
      </c>
      <c r="R6" s="85">
        <f>F6*Staff_cost!$I$8</f>
        <v>8.8960312500000001</v>
      </c>
      <c r="S6" s="85">
        <f>G6*Staff_cost!$I$10</f>
        <v>0</v>
      </c>
      <c r="T6" s="85">
        <f>H6*Staff_cost!$I$11</f>
        <v>0</v>
      </c>
      <c r="U6" s="85"/>
      <c r="V6" s="85">
        <f>J6*Staff_cost!$I$13</f>
        <v>213.50474999999997</v>
      </c>
      <c r="W6" s="85"/>
      <c r="X6" s="85"/>
      <c r="Y6" s="85"/>
      <c r="Z6" s="85">
        <f>N6*Staff_cost!$I$6</f>
        <v>0</v>
      </c>
      <c r="AA6" s="185">
        <f t="shared" ref="AA6:AA65" si="1">SUM(P6:Z6)</f>
        <v>485.00953125000001</v>
      </c>
      <c r="AB6" s="84" t="str">
        <f t="shared" ref="AB6:AB65" si="2">C6</f>
        <v>Delivery Care: Normal</v>
      </c>
    </row>
    <row r="7" spans="1:28" hidden="1" x14ac:dyDescent="0.25">
      <c r="C7" s="67" t="s">
        <v>252</v>
      </c>
      <c r="D7" s="67">
        <v>15</v>
      </c>
      <c r="E7" s="67">
        <v>120</v>
      </c>
      <c r="F7" s="67">
        <v>5</v>
      </c>
      <c r="G7" s="67">
        <v>0</v>
      </c>
      <c r="H7" s="67">
        <v>0</v>
      </c>
      <c r="I7" s="67">
        <v>0</v>
      </c>
      <c r="J7" s="67">
        <v>120</v>
      </c>
      <c r="K7" s="67">
        <v>0</v>
      </c>
      <c r="L7" s="67">
        <v>0</v>
      </c>
      <c r="M7" s="67">
        <v>0</v>
      </c>
      <c r="N7" s="67">
        <v>0</v>
      </c>
      <c r="O7" s="189">
        <f t="shared" si="0"/>
        <v>260</v>
      </c>
      <c r="P7" s="85">
        <f>D7*Staff_cost!$I$4</f>
        <v>75.853125000000006</v>
      </c>
      <c r="Q7" s="85">
        <f>E7*Staff_cost!$I$6</f>
        <v>262.60874999999999</v>
      </c>
      <c r="R7" s="85">
        <f>F7*Staff_cost!$I$8</f>
        <v>8.8960312500000001</v>
      </c>
      <c r="S7" s="85">
        <f>G7*Staff_cost!$I$10</f>
        <v>0</v>
      </c>
      <c r="T7" s="85">
        <f>H7*Staff_cost!$I$11</f>
        <v>0</v>
      </c>
      <c r="U7" s="85"/>
      <c r="V7" s="85">
        <f>J7*Staff_cost!$I$13</f>
        <v>213.50474999999997</v>
      </c>
      <c r="W7" s="85"/>
      <c r="X7" s="85"/>
      <c r="Y7" s="85"/>
      <c r="Z7" s="85">
        <f>N7*Staff_cost!$I$6</f>
        <v>0</v>
      </c>
      <c r="AA7" s="185">
        <f t="shared" si="1"/>
        <v>560.86265624999999</v>
      </c>
      <c r="AB7" s="84" t="str">
        <f t="shared" si="2"/>
        <v>Delivery Care: Assisted</v>
      </c>
    </row>
    <row r="8" spans="1:28" x14ac:dyDescent="0.25">
      <c r="C8" s="67" t="s">
        <v>248</v>
      </c>
      <c r="D8" s="67">
        <v>10</v>
      </c>
      <c r="E8" s="67">
        <v>45</v>
      </c>
      <c r="F8" s="67">
        <v>5</v>
      </c>
      <c r="G8" s="67">
        <v>0</v>
      </c>
      <c r="H8" s="67">
        <v>0</v>
      </c>
      <c r="I8" s="67">
        <v>0</v>
      </c>
      <c r="J8" s="67">
        <v>15</v>
      </c>
      <c r="K8" s="67">
        <v>0</v>
      </c>
      <c r="L8" s="67">
        <v>0</v>
      </c>
      <c r="M8" s="67">
        <v>0</v>
      </c>
      <c r="N8" s="67">
        <v>0</v>
      </c>
      <c r="O8" s="189">
        <f t="shared" si="0"/>
        <v>75</v>
      </c>
      <c r="P8" s="85">
        <f>D8*Staff_cost!$I$4</f>
        <v>50.568750000000009</v>
      </c>
      <c r="Q8" s="85">
        <f>E8*Staff_cost!$I$6</f>
        <v>98.478281249999995</v>
      </c>
      <c r="R8" s="85">
        <f>F8*Staff_cost!$I$8</f>
        <v>8.8960312500000001</v>
      </c>
      <c r="S8" s="85">
        <f>G8*Staff_cost!$I$10</f>
        <v>0</v>
      </c>
      <c r="T8" s="85">
        <f>H8*Staff_cost!$I$11</f>
        <v>0</v>
      </c>
      <c r="U8" s="85"/>
      <c r="V8" s="85">
        <f>J8*Staff_cost!$I$13</f>
        <v>26.688093749999997</v>
      </c>
      <c r="W8" s="85"/>
      <c r="X8" s="85"/>
      <c r="Y8" s="85"/>
      <c r="Z8" s="85">
        <f>N8*Staff_cost!$I$6</f>
        <v>0</v>
      </c>
      <c r="AA8" s="185">
        <f t="shared" si="1"/>
        <v>184.63115625</v>
      </c>
      <c r="AB8" s="84" t="str">
        <f t="shared" si="2"/>
        <v>Postpartum Care (2 PNC visits)</v>
      </c>
    </row>
    <row r="9" spans="1:28" x14ac:dyDescent="0.25">
      <c r="C9" s="67" t="s">
        <v>250</v>
      </c>
      <c r="D9" s="67">
        <v>5</v>
      </c>
      <c r="E9" s="67">
        <v>30</v>
      </c>
      <c r="F9" s="67">
        <v>5</v>
      </c>
      <c r="G9" s="67">
        <v>0</v>
      </c>
      <c r="H9" s="67">
        <v>0</v>
      </c>
      <c r="I9" s="67">
        <v>0</v>
      </c>
      <c r="J9" s="67">
        <v>10</v>
      </c>
      <c r="K9" s="67">
        <v>0</v>
      </c>
      <c r="L9" s="67">
        <v>0</v>
      </c>
      <c r="M9" s="67">
        <v>0</v>
      </c>
      <c r="N9" s="67">
        <v>0</v>
      </c>
      <c r="O9" s="189">
        <f t="shared" si="0"/>
        <v>50</v>
      </c>
      <c r="P9" s="85">
        <f>D9*Staff_cost!$I$4</f>
        <v>25.284375000000004</v>
      </c>
      <c r="Q9" s="85">
        <f>E9*Staff_cost!$I$6</f>
        <v>65.652187499999997</v>
      </c>
      <c r="R9" s="85">
        <f>F9*Staff_cost!$I$8</f>
        <v>8.8960312500000001</v>
      </c>
      <c r="S9" s="85">
        <f>G9*Staff_cost!$I$10</f>
        <v>0</v>
      </c>
      <c r="T9" s="85">
        <f>H9*Staff_cost!$I$11</f>
        <v>0</v>
      </c>
      <c r="U9" s="85"/>
      <c r="V9" s="85">
        <f>J9*Staff_cost!$I$13</f>
        <v>17.7920625</v>
      </c>
      <c r="W9" s="85"/>
      <c r="X9" s="85"/>
      <c r="Y9" s="85"/>
      <c r="Z9" s="85">
        <f>N9*Staff_cost!$I$6</f>
        <v>0</v>
      </c>
      <c r="AA9" s="185">
        <f t="shared" si="1"/>
        <v>117.62465625</v>
      </c>
      <c r="AB9" s="84" t="str">
        <f t="shared" si="2"/>
        <v>Care of newborn</v>
      </c>
    </row>
    <row r="10" spans="1:28" x14ac:dyDescent="0.25"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189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185"/>
      <c r="AB10" s="84"/>
    </row>
    <row r="11" spans="1:28" x14ac:dyDescent="0.25">
      <c r="A11" s="63" t="s">
        <v>254</v>
      </c>
      <c r="C11" s="67" t="s">
        <v>253</v>
      </c>
      <c r="D11" s="67">
        <v>0</v>
      </c>
      <c r="E11" s="67">
        <v>15</v>
      </c>
      <c r="F11" s="67">
        <v>5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189">
        <f t="shared" si="0"/>
        <v>20</v>
      </c>
      <c r="P11" s="85">
        <f>D11*Staff_cost!$I$4</f>
        <v>0</v>
      </c>
      <c r="Q11" s="85">
        <f>E11*Staff_cost!$I$6</f>
        <v>32.826093749999998</v>
      </c>
      <c r="R11" s="85">
        <f>F11*Staff_cost!$I$8</f>
        <v>8.8960312500000001</v>
      </c>
      <c r="S11" s="85">
        <f>G11*Staff_cost!$I$10</f>
        <v>0</v>
      </c>
      <c r="T11" s="85">
        <f>H11*Staff_cost!$I$11</f>
        <v>0</v>
      </c>
      <c r="U11" s="85"/>
      <c r="V11" s="85">
        <f>J11*Staff_cost!$I$13</f>
        <v>0</v>
      </c>
      <c r="W11" s="85"/>
      <c r="X11" s="85"/>
      <c r="Y11" s="85"/>
      <c r="Z11" s="85">
        <f>N11*Staff_cost!$I$6</f>
        <v>0</v>
      </c>
      <c r="AA11" s="185">
        <f t="shared" si="1"/>
        <v>41.722124999999998</v>
      </c>
      <c r="AB11" s="84" t="str">
        <f t="shared" si="2"/>
        <v>Child with cough</v>
      </c>
    </row>
    <row r="12" spans="1:28" x14ac:dyDescent="0.25">
      <c r="C12" s="67" t="s">
        <v>260</v>
      </c>
      <c r="D12" s="67">
        <v>30</v>
      </c>
      <c r="E12" s="67">
        <v>0</v>
      </c>
      <c r="F12" s="67">
        <v>5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189">
        <f t="shared" si="0"/>
        <v>35</v>
      </c>
      <c r="P12" s="85">
        <f>D12*Staff_cost!$I$4</f>
        <v>151.70625000000001</v>
      </c>
      <c r="Q12" s="85">
        <f>E12*Staff_cost!$I$6</f>
        <v>0</v>
      </c>
      <c r="R12" s="85">
        <f>F12*Staff_cost!$I$8</f>
        <v>8.8960312500000001</v>
      </c>
      <c r="S12" s="85">
        <f>G12*Staff_cost!$I$10</f>
        <v>0</v>
      </c>
      <c r="T12" s="85">
        <f>H12*Staff_cost!$I$11</f>
        <v>0</v>
      </c>
      <c r="U12" s="85"/>
      <c r="V12" s="85">
        <f>J12*Staff_cost!$I$13</f>
        <v>0</v>
      </c>
      <c r="W12" s="85"/>
      <c r="X12" s="85"/>
      <c r="Y12" s="85"/>
      <c r="Z12" s="85">
        <f>N12*Staff_cost!$I$6</f>
        <v>0</v>
      </c>
      <c r="AA12" s="185">
        <f t="shared" si="1"/>
        <v>160.60228125</v>
      </c>
      <c r="AB12" s="84" t="str">
        <f t="shared" si="2"/>
        <v>Child with pneumonia</v>
      </c>
    </row>
    <row r="13" spans="1:28" x14ac:dyDescent="0.25">
      <c r="C13" s="67" t="s">
        <v>261</v>
      </c>
      <c r="D13" s="67">
        <v>15</v>
      </c>
      <c r="E13" s="67">
        <v>0</v>
      </c>
      <c r="F13" s="67">
        <v>5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189">
        <f t="shared" si="0"/>
        <v>20</v>
      </c>
      <c r="P13" s="85">
        <f>D13*Staff_cost!$I$4</f>
        <v>75.853125000000006</v>
      </c>
      <c r="Q13" s="85">
        <f>E13*Staff_cost!$I$6</f>
        <v>0</v>
      </c>
      <c r="R13" s="85">
        <f>F13*Staff_cost!$I$8</f>
        <v>8.8960312500000001</v>
      </c>
      <c r="S13" s="85">
        <f>G13*Staff_cost!$I$10</f>
        <v>0</v>
      </c>
      <c r="T13" s="85">
        <f>H13*Staff_cost!$I$11</f>
        <v>0</v>
      </c>
      <c r="U13" s="85"/>
      <c r="V13" s="85">
        <f>J13*Staff_cost!$I$13</f>
        <v>0</v>
      </c>
      <c r="W13" s="85"/>
      <c r="X13" s="85"/>
      <c r="Y13" s="85"/>
      <c r="Z13" s="85">
        <f>N13*Staff_cost!$I$6</f>
        <v>0</v>
      </c>
      <c r="AA13" s="185">
        <f t="shared" si="1"/>
        <v>84.749156249999999</v>
      </c>
      <c r="AB13" s="84" t="str">
        <f t="shared" si="2"/>
        <v>Child with wheeze</v>
      </c>
    </row>
    <row r="14" spans="1:28" x14ac:dyDescent="0.25">
      <c r="C14" s="67" t="s">
        <v>262</v>
      </c>
      <c r="D14" s="67">
        <v>15</v>
      </c>
      <c r="E14" s="67">
        <v>0</v>
      </c>
      <c r="F14" s="67">
        <v>5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189">
        <f t="shared" si="0"/>
        <v>20</v>
      </c>
      <c r="P14" s="85">
        <f>D14*Staff_cost!$I$4</f>
        <v>75.853125000000006</v>
      </c>
      <c r="Q14" s="85">
        <f>E14*Staff_cost!$I$6</f>
        <v>0</v>
      </c>
      <c r="R14" s="85">
        <f>F14*Staff_cost!$I$8</f>
        <v>8.8960312500000001</v>
      </c>
      <c r="S14" s="85">
        <f>G14*Staff_cost!$I$10</f>
        <v>0</v>
      </c>
      <c r="T14" s="85">
        <f>H14*Staff_cost!$I$11</f>
        <v>0</v>
      </c>
      <c r="U14" s="85"/>
      <c r="V14" s="85">
        <f>J14*Staff_cost!$I$13</f>
        <v>0</v>
      </c>
      <c r="W14" s="85"/>
      <c r="X14" s="85"/>
      <c r="Y14" s="85"/>
      <c r="Z14" s="85">
        <f>N14*Staff_cost!$I$6</f>
        <v>0</v>
      </c>
      <c r="AA14" s="185">
        <f t="shared" si="1"/>
        <v>84.749156249999999</v>
      </c>
      <c r="AB14" s="84" t="str">
        <f t="shared" si="2"/>
        <v>Child with ear infection</v>
      </c>
    </row>
    <row r="15" spans="1:28" x14ac:dyDescent="0.25"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189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185"/>
      <c r="AB15" s="84"/>
    </row>
    <row r="16" spans="1:28" x14ac:dyDescent="0.25">
      <c r="A16" s="63" t="s">
        <v>263</v>
      </c>
      <c r="C16" s="67" t="s">
        <v>266</v>
      </c>
      <c r="D16" s="67">
        <v>0</v>
      </c>
      <c r="E16" s="67">
        <v>15</v>
      </c>
      <c r="F16" s="67">
        <v>5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189">
        <f t="shared" si="0"/>
        <v>20</v>
      </c>
      <c r="P16" s="85">
        <f>D16*Staff_cost!$I$4</f>
        <v>0</v>
      </c>
      <c r="Q16" s="85">
        <f>E16*Staff_cost!$I$6</f>
        <v>32.826093749999998</v>
      </c>
      <c r="R16" s="85">
        <f>F16*Staff_cost!$I$8</f>
        <v>8.8960312500000001</v>
      </c>
      <c r="S16" s="85">
        <f>G16*Staff_cost!$I$10</f>
        <v>0</v>
      </c>
      <c r="T16" s="85">
        <f>H16*Staff_cost!$I$11</f>
        <v>0</v>
      </c>
      <c r="U16" s="85"/>
      <c r="V16" s="85">
        <f>J16*Staff_cost!$I$13</f>
        <v>0</v>
      </c>
      <c r="W16" s="85"/>
      <c r="X16" s="85"/>
      <c r="Y16" s="85"/>
      <c r="Z16" s="85">
        <f>N16*Staff_cost!$I$6</f>
        <v>0</v>
      </c>
      <c r="AA16" s="185">
        <f t="shared" si="1"/>
        <v>41.722124999999998</v>
      </c>
      <c r="AB16" s="84" t="str">
        <f t="shared" si="2"/>
        <v>Child with no dehydration</v>
      </c>
    </row>
    <row r="17" spans="1:28" x14ac:dyDescent="0.25">
      <c r="C17" s="67" t="s">
        <v>267</v>
      </c>
      <c r="D17" s="67">
        <v>0</v>
      </c>
      <c r="E17" s="67">
        <v>15</v>
      </c>
      <c r="F17" s="67">
        <v>5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189">
        <f t="shared" si="0"/>
        <v>20</v>
      </c>
      <c r="P17" s="85">
        <f>D17*Staff_cost!$I$4</f>
        <v>0</v>
      </c>
      <c r="Q17" s="85">
        <f>E17*Staff_cost!$I$6</f>
        <v>32.826093749999998</v>
      </c>
      <c r="R17" s="85">
        <f>F17*Staff_cost!$I$8</f>
        <v>8.8960312500000001</v>
      </c>
      <c r="S17" s="85">
        <f>G17*Staff_cost!$I$10</f>
        <v>0</v>
      </c>
      <c r="T17" s="85">
        <f>H17*Staff_cost!$I$11</f>
        <v>0</v>
      </c>
      <c r="U17" s="85"/>
      <c r="V17" s="85">
        <f>J17*Staff_cost!$I$13</f>
        <v>0</v>
      </c>
      <c r="W17" s="85"/>
      <c r="X17" s="85"/>
      <c r="Y17" s="85"/>
      <c r="Z17" s="85">
        <f>N17*Staff_cost!$I$6</f>
        <v>0</v>
      </c>
      <c r="AA17" s="185">
        <f t="shared" si="1"/>
        <v>41.722124999999998</v>
      </c>
      <c r="AB17" s="84" t="str">
        <f t="shared" si="2"/>
        <v>Child with some dehydration</v>
      </c>
    </row>
    <row r="18" spans="1:28" x14ac:dyDescent="0.25">
      <c r="C18" s="67" t="s">
        <v>52</v>
      </c>
      <c r="D18" s="67">
        <v>15</v>
      </c>
      <c r="E18" s="67">
        <v>0</v>
      </c>
      <c r="F18" s="67">
        <v>5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189">
        <f t="shared" si="0"/>
        <v>20</v>
      </c>
      <c r="P18" s="85">
        <f>D18*Staff_cost!$I$4</f>
        <v>75.853125000000006</v>
      </c>
      <c r="Q18" s="85">
        <f>E18*Staff_cost!$I$6</f>
        <v>0</v>
      </c>
      <c r="R18" s="85">
        <f>F18*Staff_cost!$I$8</f>
        <v>8.8960312500000001</v>
      </c>
      <c r="S18" s="85">
        <f>G18*Staff_cost!$I$10</f>
        <v>0</v>
      </c>
      <c r="T18" s="85">
        <f>H18*Staff_cost!$I$11</f>
        <v>0</v>
      </c>
      <c r="U18" s="85"/>
      <c r="V18" s="85">
        <f>J18*Staff_cost!$I$13</f>
        <v>0</v>
      </c>
      <c r="W18" s="85"/>
      <c r="X18" s="85"/>
      <c r="Y18" s="85"/>
      <c r="Z18" s="85">
        <f>N18*Staff_cost!$I$6</f>
        <v>0</v>
      </c>
      <c r="AA18" s="185">
        <f t="shared" si="1"/>
        <v>84.749156249999999</v>
      </c>
      <c r="AB18" s="84" t="str">
        <f t="shared" si="2"/>
        <v>Dysentry</v>
      </c>
    </row>
    <row r="19" spans="1:28" x14ac:dyDescent="0.25"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89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185"/>
      <c r="AB19" s="84"/>
    </row>
    <row r="20" spans="1:28" x14ac:dyDescent="0.25">
      <c r="C20" s="67" t="s">
        <v>268</v>
      </c>
      <c r="D20" s="67">
        <v>15</v>
      </c>
      <c r="E20" s="67">
        <v>0</v>
      </c>
      <c r="F20" s="67">
        <v>5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189">
        <f t="shared" si="0"/>
        <v>20</v>
      </c>
      <c r="P20" s="85">
        <f>D20*Staff_cost!$I$4</f>
        <v>75.853125000000006</v>
      </c>
      <c r="Q20" s="85">
        <f>E20*Staff_cost!$I$6</f>
        <v>0</v>
      </c>
      <c r="R20" s="85">
        <f>F20*Staff_cost!$I$8</f>
        <v>8.8960312500000001</v>
      </c>
      <c r="S20" s="85">
        <f>G20*Staff_cost!$I$10</f>
        <v>0</v>
      </c>
      <c r="T20" s="85">
        <f>H20*Staff_cost!$I$11</f>
        <v>0</v>
      </c>
      <c r="U20" s="85"/>
      <c r="V20" s="85">
        <f>J20*Staff_cost!$I$13</f>
        <v>0</v>
      </c>
      <c r="W20" s="85"/>
      <c r="X20" s="85"/>
      <c r="Y20" s="85"/>
      <c r="Z20" s="85">
        <f>N20*Staff_cost!$I$6</f>
        <v>0</v>
      </c>
      <c r="AA20" s="185">
        <f t="shared" si="1"/>
        <v>84.749156249999999</v>
      </c>
      <c r="AB20" s="84" t="str">
        <f t="shared" si="2"/>
        <v>Fever</v>
      </c>
    </row>
    <row r="21" spans="1:28" x14ac:dyDescent="0.25"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189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185"/>
      <c r="AB21" s="84"/>
    </row>
    <row r="22" spans="1:28" x14ac:dyDescent="0.25">
      <c r="A22" s="63" t="s">
        <v>59</v>
      </c>
      <c r="C22" s="67" t="s">
        <v>275</v>
      </c>
      <c r="D22" s="67">
        <v>0</v>
      </c>
      <c r="E22" s="67">
        <v>30</v>
      </c>
      <c r="F22" s="67">
        <v>5</v>
      </c>
      <c r="G22" s="67">
        <v>0</v>
      </c>
      <c r="H22" s="67">
        <v>0</v>
      </c>
      <c r="I22" s="67">
        <v>0</v>
      </c>
      <c r="J22" s="67">
        <v>5</v>
      </c>
      <c r="K22" s="67">
        <v>0</v>
      </c>
      <c r="L22" s="67">
        <v>0</v>
      </c>
      <c r="M22" s="67">
        <v>0</v>
      </c>
      <c r="N22" s="67">
        <v>0</v>
      </c>
      <c r="O22" s="189">
        <f t="shared" si="0"/>
        <v>40</v>
      </c>
      <c r="P22" s="85">
        <f>D22*Staff_cost!$I$4</f>
        <v>0</v>
      </c>
      <c r="Q22" s="85">
        <f>E22*Staff_cost!$I$6</f>
        <v>65.652187499999997</v>
      </c>
      <c r="R22" s="85">
        <f>F22*Staff_cost!$I$8</f>
        <v>8.8960312500000001</v>
      </c>
      <c r="S22" s="85">
        <f>G22*Staff_cost!$I$10</f>
        <v>0</v>
      </c>
      <c r="T22" s="85">
        <f>H22*Staff_cost!$I$11</f>
        <v>0</v>
      </c>
      <c r="U22" s="85"/>
      <c r="V22" s="85">
        <f>J22*Staff_cost!$I$13</f>
        <v>8.8960312500000001</v>
      </c>
      <c r="W22" s="85"/>
      <c r="X22" s="85"/>
      <c r="Y22" s="85"/>
      <c r="Z22" s="85">
        <f>N22*Staff_cost!$I$6</f>
        <v>0</v>
      </c>
      <c r="AA22" s="185">
        <f t="shared" si="1"/>
        <v>83.444249999999982</v>
      </c>
      <c r="AB22" s="84" t="str">
        <f t="shared" si="2"/>
        <v>Injections: initial visit</v>
      </c>
    </row>
    <row r="23" spans="1:28" x14ac:dyDescent="0.25">
      <c r="C23" s="67" t="s">
        <v>274</v>
      </c>
      <c r="D23" s="67">
        <v>0</v>
      </c>
      <c r="E23" s="67">
        <v>5</v>
      </c>
      <c r="F23" s="67">
        <v>5</v>
      </c>
      <c r="G23" s="67">
        <v>0</v>
      </c>
      <c r="H23" s="67">
        <v>0</v>
      </c>
      <c r="I23" s="67">
        <v>0</v>
      </c>
      <c r="J23" s="67">
        <v>5</v>
      </c>
      <c r="K23" s="67">
        <v>0</v>
      </c>
      <c r="L23" s="67">
        <v>0</v>
      </c>
      <c r="M23" s="67"/>
      <c r="N23" s="67">
        <v>0</v>
      </c>
      <c r="O23" s="189">
        <f t="shared" si="0"/>
        <v>15</v>
      </c>
      <c r="P23" s="85">
        <f>D23*Staff_cost!$I$4</f>
        <v>0</v>
      </c>
      <c r="Q23" s="85">
        <f>E23*Staff_cost!$I$6</f>
        <v>10.942031249999999</v>
      </c>
      <c r="R23" s="85">
        <f>F23*Staff_cost!$I$8</f>
        <v>8.8960312500000001</v>
      </c>
      <c r="S23" s="85">
        <f>G23*Staff_cost!$I$10</f>
        <v>0</v>
      </c>
      <c r="T23" s="85">
        <f>H23*Staff_cost!$I$11</f>
        <v>0</v>
      </c>
      <c r="U23" s="85"/>
      <c r="V23" s="85">
        <f>J23*Staff_cost!$I$13</f>
        <v>8.8960312500000001</v>
      </c>
      <c r="W23" s="85"/>
      <c r="X23" s="85"/>
      <c r="Y23" s="85"/>
      <c r="Z23" s="85">
        <f>N23*Staff_cost!$I$6</f>
        <v>0</v>
      </c>
      <c r="AA23" s="185">
        <f t="shared" si="1"/>
        <v>28.73409375</v>
      </c>
      <c r="AB23" s="84" t="str">
        <f t="shared" si="2"/>
        <v>Injections: follow-up visit</v>
      </c>
    </row>
    <row r="24" spans="1:28" x14ac:dyDescent="0.25">
      <c r="C24" s="67" t="s">
        <v>273</v>
      </c>
      <c r="D24" s="67">
        <v>0</v>
      </c>
      <c r="E24" s="67">
        <v>35</v>
      </c>
      <c r="F24" s="67">
        <v>5</v>
      </c>
      <c r="G24" s="67">
        <v>0</v>
      </c>
      <c r="H24" s="67">
        <v>0</v>
      </c>
      <c r="I24" s="67">
        <v>0</v>
      </c>
      <c r="J24" s="67">
        <v>5</v>
      </c>
      <c r="K24" s="67">
        <v>0</v>
      </c>
      <c r="L24" s="67">
        <v>0</v>
      </c>
      <c r="M24" s="67">
        <v>0</v>
      </c>
      <c r="N24" s="67">
        <v>0</v>
      </c>
      <c r="O24" s="189">
        <f t="shared" si="0"/>
        <v>45</v>
      </c>
      <c r="P24" s="85">
        <f>D24*Staff_cost!$I$4</f>
        <v>0</v>
      </c>
      <c r="Q24" s="85">
        <f>E24*Staff_cost!$I$6</f>
        <v>76.594218749999996</v>
      </c>
      <c r="R24" s="85">
        <f>F24*Staff_cost!$I$8</f>
        <v>8.8960312500000001</v>
      </c>
      <c r="S24" s="85">
        <f>G24*Staff_cost!$I$10</f>
        <v>0</v>
      </c>
      <c r="T24" s="85">
        <f>H24*Staff_cost!$I$11</f>
        <v>0</v>
      </c>
      <c r="U24" s="85"/>
      <c r="V24" s="85">
        <f>J24*Staff_cost!$I$13</f>
        <v>8.8960312500000001</v>
      </c>
      <c r="W24" s="85"/>
      <c r="X24" s="85"/>
      <c r="Y24" s="85"/>
      <c r="Z24" s="85">
        <f>N24*Staff_cost!$I$6</f>
        <v>0</v>
      </c>
      <c r="AA24" s="185">
        <f t="shared" si="1"/>
        <v>94.386281249999996</v>
      </c>
      <c r="AB24" s="84" t="str">
        <f t="shared" si="2"/>
        <v>IUCD: initial visit</v>
      </c>
    </row>
    <row r="25" spans="1:28" x14ac:dyDescent="0.25">
      <c r="C25" s="67" t="s">
        <v>272</v>
      </c>
      <c r="D25" s="67">
        <v>0</v>
      </c>
      <c r="E25" s="67">
        <v>8</v>
      </c>
      <c r="F25" s="67">
        <v>5</v>
      </c>
      <c r="G25" s="67">
        <v>0</v>
      </c>
      <c r="H25" s="67">
        <v>0</v>
      </c>
      <c r="I25" s="67">
        <v>0</v>
      </c>
      <c r="J25" s="67">
        <v>5</v>
      </c>
      <c r="K25" s="67">
        <v>0</v>
      </c>
      <c r="L25" s="67">
        <v>0</v>
      </c>
      <c r="M25" s="67">
        <v>5</v>
      </c>
      <c r="N25" s="67">
        <v>0</v>
      </c>
      <c r="O25" s="189">
        <f t="shared" si="0"/>
        <v>23</v>
      </c>
      <c r="P25" s="85">
        <f>D25*Staff_cost!$I$4</f>
        <v>0</v>
      </c>
      <c r="Q25" s="85">
        <f>E25*Staff_cost!$I$6</f>
        <v>17.507249999999999</v>
      </c>
      <c r="R25" s="85">
        <f>F25*Staff_cost!$I$8</f>
        <v>8.8960312500000001</v>
      </c>
      <c r="S25" s="85">
        <f>G25*Staff_cost!$I$10</f>
        <v>0</v>
      </c>
      <c r="T25" s="85">
        <f>H25*Staff_cost!$I$11</f>
        <v>0</v>
      </c>
      <c r="U25" s="85"/>
      <c r="V25" s="85">
        <f>J25*Staff_cost!$I$13</f>
        <v>8.8960312500000001</v>
      </c>
      <c r="W25" s="85"/>
      <c r="X25" s="85"/>
      <c r="Y25" s="85"/>
      <c r="Z25" s="85">
        <f>N25*Staff_cost!$I$6</f>
        <v>0</v>
      </c>
      <c r="AA25" s="185">
        <f t="shared" si="1"/>
        <v>35.299312499999999</v>
      </c>
      <c r="AB25" s="84" t="str">
        <f t="shared" si="2"/>
        <v>IUCD: follow-up visit</v>
      </c>
    </row>
    <row r="26" spans="1:28" x14ac:dyDescent="0.25">
      <c r="C26" s="67" t="s">
        <v>271</v>
      </c>
      <c r="D26" s="67">
        <v>0</v>
      </c>
      <c r="E26" s="67">
        <v>30</v>
      </c>
      <c r="F26" s="67">
        <v>5</v>
      </c>
      <c r="G26" s="67">
        <v>0</v>
      </c>
      <c r="H26" s="67">
        <v>0</v>
      </c>
      <c r="I26" s="67">
        <v>0</v>
      </c>
      <c r="J26" s="67">
        <v>5</v>
      </c>
      <c r="K26" s="67">
        <v>0</v>
      </c>
      <c r="L26" s="67">
        <v>0</v>
      </c>
      <c r="M26" s="67">
        <v>0</v>
      </c>
      <c r="N26" s="67">
        <v>0</v>
      </c>
      <c r="O26" s="189">
        <f t="shared" si="0"/>
        <v>40</v>
      </c>
      <c r="P26" s="85">
        <f>D26*Staff_cost!$I$4</f>
        <v>0</v>
      </c>
      <c r="Q26" s="85">
        <f>E26*Staff_cost!$I$6</f>
        <v>65.652187499999997</v>
      </c>
      <c r="R26" s="85">
        <f>F26*Staff_cost!$I$8</f>
        <v>8.8960312500000001</v>
      </c>
      <c r="S26" s="85">
        <f>G26*Staff_cost!$I$10</f>
        <v>0</v>
      </c>
      <c r="T26" s="85">
        <f>H26*Staff_cost!$I$11</f>
        <v>0</v>
      </c>
      <c r="U26" s="85"/>
      <c r="V26" s="85">
        <f>J26*Staff_cost!$I$13</f>
        <v>8.8960312500000001</v>
      </c>
      <c r="W26" s="85"/>
      <c r="X26" s="85"/>
      <c r="Y26" s="85"/>
      <c r="Z26" s="85">
        <f>N26*Staff_cost!$I$6</f>
        <v>0</v>
      </c>
      <c r="AA26" s="185">
        <f t="shared" si="1"/>
        <v>83.444249999999982</v>
      </c>
      <c r="AB26" s="84" t="str">
        <f t="shared" si="2"/>
        <v>Oral Contraceptives: initial visit</v>
      </c>
    </row>
    <row r="27" spans="1:28" x14ac:dyDescent="0.25">
      <c r="C27" s="67" t="s">
        <v>270</v>
      </c>
      <c r="D27" s="67">
        <v>0</v>
      </c>
      <c r="E27" s="67">
        <v>5</v>
      </c>
      <c r="F27" s="67">
        <v>5</v>
      </c>
      <c r="G27" s="67">
        <v>0</v>
      </c>
      <c r="H27" s="67">
        <v>0</v>
      </c>
      <c r="I27" s="67">
        <v>0</v>
      </c>
      <c r="J27" s="67">
        <v>5</v>
      </c>
      <c r="K27" s="67">
        <v>0</v>
      </c>
      <c r="L27" s="67">
        <v>0</v>
      </c>
      <c r="M27" s="67">
        <v>0</v>
      </c>
      <c r="N27" s="67">
        <v>0</v>
      </c>
      <c r="O27" s="189">
        <f t="shared" si="0"/>
        <v>15</v>
      </c>
      <c r="P27" s="85">
        <f>D27*Staff_cost!$I$4</f>
        <v>0</v>
      </c>
      <c r="Q27" s="85">
        <f>E27*Staff_cost!$I$6</f>
        <v>10.942031249999999</v>
      </c>
      <c r="R27" s="85">
        <f>F27*Staff_cost!$I$8</f>
        <v>8.8960312500000001</v>
      </c>
      <c r="S27" s="85">
        <f>G27*Staff_cost!$I$10</f>
        <v>0</v>
      </c>
      <c r="T27" s="85">
        <f>H27*Staff_cost!$I$11</f>
        <v>0</v>
      </c>
      <c r="U27" s="85"/>
      <c r="V27" s="85">
        <f>J27*Staff_cost!$I$13</f>
        <v>8.8960312500000001</v>
      </c>
      <c r="W27" s="85"/>
      <c r="X27" s="85"/>
      <c r="Y27" s="85"/>
      <c r="Z27" s="85">
        <f>N27*Staff_cost!$I$6</f>
        <v>0</v>
      </c>
      <c r="AA27" s="185">
        <f t="shared" si="1"/>
        <v>28.73409375</v>
      </c>
      <c r="AB27" s="84" t="str">
        <f t="shared" si="2"/>
        <v>Oral Contraceptives: follow-up visit</v>
      </c>
    </row>
    <row r="28" spans="1:28" x14ac:dyDescent="0.25">
      <c r="C28" s="67" t="s">
        <v>269</v>
      </c>
      <c r="D28" s="67">
        <v>0</v>
      </c>
      <c r="E28" s="67">
        <v>20</v>
      </c>
      <c r="F28" s="67">
        <v>5</v>
      </c>
      <c r="G28" s="67">
        <v>0</v>
      </c>
      <c r="H28" s="67">
        <v>0</v>
      </c>
      <c r="I28" s="67">
        <v>0</v>
      </c>
      <c r="J28" s="67">
        <v>5</v>
      </c>
      <c r="K28" s="67">
        <v>0</v>
      </c>
      <c r="L28" s="67">
        <v>0</v>
      </c>
      <c r="M28" s="67"/>
      <c r="N28" s="67">
        <v>0</v>
      </c>
      <c r="O28" s="189">
        <f t="shared" si="0"/>
        <v>30</v>
      </c>
      <c r="P28" s="85">
        <f>D28*Staff_cost!$I$4</f>
        <v>0</v>
      </c>
      <c r="Q28" s="85">
        <f>E28*Staff_cost!$I$6</f>
        <v>43.768124999999998</v>
      </c>
      <c r="R28" s="85">
        <f>F28*Staff_cost!$I$8</f>
        <v>8.8960312500000001</v>
      </c>
      <c r="S28" s="85">
        <f>G28*Staff_cost!$I$10</f>
        <v>0</v>
      </c>
      <c r="T28" s="85">
        <f>H28*Staff_cost!$I$11</f>
        <v>0</v>
      </c>
      <c r="U28" s="85"/>
      <c r="V28" s="85">
        <f>J28*Staff_cost!$I$13</f>
        <v>8.8960312500000001</v>
      </c>
      <c r="W28" s="85"/>
      <c r="X28" s="85"/>
      <c r="Y28" s="85"/>
      <c r="Z28" s="85">
        <f>N28*Staff_cost!$I$6</f>
        <v>0</v>
      </c>
      <c r="AA28" s="185">
        <f t="shared" si="1"/>
        <v>61.560187499999998</v>
      </c>
      <c r="AB28" s="84" t="str">
        <f t="shared" si="2"/>
        <v>Condoms: initial visit</v>
      </c>
    </row>
    <row r="29" spans="1:28" x14ac:dyDescent="0.25">
      <c r="C29" s="67" t="s">
        <v>276</v>
      </c>
      <c r="D29" s="67">
        <v>0</v>
      </c>
      <c r="E29" s="67">
        <v>2</v>
      </c>
      <c r="F29" s="67">
        <v>5</v>
      </c>
      <c r="G29" s="67">
        <v>0</v>
      </c>
      <c r="H29" s="67">
        <v>0</v>
      </c>
      <c r="I29" s="67">
        <v>0</v>
      </c>
      <c r="J29" s="67">
        <v>5</v>
      </c>
      <c r="K29" s="67">
        <v>0</v>
      </c>
      <c r="L29" s="67">
        <v>0</v>
      </c>
      <c r="M29" s="67"/>
      <c r="N29" s="67">
        <v>0</v>
      </c>
      <c r="O29" s="189">
        <f t="shared" si="0"/>
        <v>12</v>
      </c>
      <c r="P29" s="85">
        <f>D29*Staff_cost!$I$4</f>
        <v>0</v>
      </c>
      <c r="Q29" s="85">
        <f>E29*Staff_cost!$I$6</f>
        <v>4.3768124999999998</v>
      </c>
      <c r="R29" s="85">
        <f>F29*Staff_cost!$I$8</f>
        <v>8.8960312500000001</v>
      </c>
      <c r="S29" s="85">
        <f>G29*Staff_cost!$I$10</f>
        <v>0</v>
      </c>
      <c r="T29" s="85">
        <f>H29*Staff_cost!$I$11</f>
        <v>0</v>
      </c>
      <c r="U29" s="85"/>
      <c r="V29" s="85">
        <f>J29*Staff_cost!$I$13</f>
        <v>8.8960312500000001</v>
      </c>
      <c r="W29" s="85"/>
      <c r="X29" s="85"/>
      <c r="Y29" s="85"/>
      <c r="Z29" s="85">
        <f>N29*Staff_cost!$I$6</f>
        <v>0</v>
      </c>
      <c r="AA29" s="185">
        <f t="shared" si="1"/>
        <v>22.168875</v>
      </c>
      <c r="AB29" s="84" t="str">
        <f t="shared" si="2"/>
        <v>Condoms: follow-up visit</v>
      </c>
    </row>
    <row r="30" spans="1:28" x14ac:dyDescent="0.25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189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185"/>
      <c r="AB30" s="84"/>
    </row>
    <row r="31" spans="1:28" x14ac:dyDescent="0.25">
      <c r="A31" s="63" t="s">
        <v>277</v>
      </c>
      <c r="C31" s="67" t="s">
        <v>278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/>
      <c r="N31" s="86">
        <f>4*4</f>
        <v>16</v>
      </c>
      <c r="O31" s="189">
        <f t="shared" si="0"/>
        <v>16</v>
      </c>
      <c r="P31" s="85">
        <v>0</v>
      </c>
      <c r="Q31" s="85">
        <f>E31*Staff_cost!$I$6</f>
        <v>0</v>
      </c>
      <c r="R31" s="85">
        <f>F31*Staff_cost!$I$8</f>
        <v>0</v>
      </c>
      <c r="S31" s="85">
        <f>G31*Staff_cost!$I$10</f>
        <v>0</v>
      </c>
      <c r="T31" s="85">
        <f>H31*Staff_cost!$I$11</f>
        <v>0</v>
      </c>
      <c r="U31" s="85"/>
      <c r="V31" s="85">
        <f>J31*Staff_cost!$I$13</f>
        <v>0</v>
      </c>
      <c r="W31" s="85"/>
      <c r="X31" s="85"/>
      <c r="Y31" s="85"/>
      <c r="Z31" s="85">
        <f>N31*Staff_cost!$I$6</f>
        <v>35.014499999999998</v>
      </c>
      <c r="AA31" s="185">
        <f t="shared" si="1"/>
        <v>35.014499999999998</v>
      </c>
      <c r="AB31" s="84" t="str">
        <f t="shared" si="2"/>
        <v>Polio drops</v>
      </c>
    </row>
    <row r="32" spans="1:28" x14ac:dyDescent="0.25">
      <c r="C32" s="67" t="s">
        <v>279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/>
      <c r="N32" s="86">
        <v>4</v>
      </c>
      <c r="O32" s="189">
        <f t="shared" si="0"/>
        <v>4</v>
      </c>
      <c r="P32" s="85">
        <f>D32*Staff_cost!$I$4</f>
        <v>0</v>
      </c>
      <c r="Q32" s="85">
        <f>E32*Staff_cost!$I$6</f>
        <v>0</v>
      </c>
      <c r="R32" s="85">
        <f>F32*Staff_cost!$I$8</f>
        <v>0</v>
      </c>
      <c r="S32" s="85">
        <f>G32*Staff_cost!$I$10</f>
        <v>0</v>
      </c>
      <c r="T32" s="85">
        <f>H32*Staff_cost!$I$11</f>
        <v>0</v>
      </c>
      <c r="U32" s="85"/>
      <c r="V32" s="85">
        <f>J32*Staff_cost!$I$13</f>
        <v>0</v>
      </c>
      <c r="W32" s="85"/>
      <c r="X32" s="85"/>
      <c r="Y32" s="85"/>
      <c r="Z32" s="85">
        <f>N32*Staff_cost!$I$6</f>
        <v>8.7536249999999995</v>
      </c>
      <c r="AA32" s="185">
        <f t="shared" si="1"/>
        <v>8.7536249999999995</v>
      </c>
      <c r="AB32" s="84" t="str">
        <f t="shared" si="2"/>
        <v>Injection BCG</v>
      </c>
    </row>
    <row r="33" spans="1:28" x14ac:dyDescent="0.25">
      <c r="C33" s="67" t="s">
        <v>280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/>
      <c r="N33" s="86">
        <f>4*3</f>
        <v>12</v>
      </c>
      <c r="O33" s="189">
        <f t="shared" si="0"/>
        <v>12</v>
      </c>
      <c r="P33" s="85">
        <f>D33*Staff_cost!$I$4</f>
        <v>0</v>
      </c>
      <c r="Q33" s="85">
        <f>E33*Staff_cost!$I$6</f>
        <v>0</v>
      </c>
      <c r="R33" s="85">
        <f>F33*Staff_cost!$I$8</f>
        <v>0</v>
      </c>
      <c r="S33" s="85">
        <f>G33*Staff_cost!$I$10</f>
        <v>0</v>
      </c>
      <c r="T33" s="85">
        <f>H33*Staff_cost!$I$11</f>
        <v>0</v>
      </c>
      <c r="U33" s="85"/>
      <c r="V33" s="85">
        <f>J33*Staff_cost!$I$13</f>
        <v>0</v>
      </c>
      <c r="W33" s="85"/>
      <c r="X33" s="85"/>
      <c r="Y33" s="85"/>
      <c r="Z33" s="85">
        <f>N33*Staff_cost!$I$6</f>
        <v>26.260874999999999</v>
      </c>
      <c r="AA33" s="185">
        <f t="shared" si="1"/>
        <v>26.260874999999999</v>
      </c>
      <c r="AB33" s="84" t="str">
        <f t="shared" si="2"/>
        <v>Injection Pentavalent</v>
      </c>
    </row>
    <row r="34" spans="1:28" x14ac:dyDescent="0.25">
      <c r="C34" s="67" t="s">
        <v>281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/>
      <c r="N34" s="86">
        <v>4</v>
      </c>
      <c r="O34" s="189">
        <f t="shared" si="0"/>
        <v>4</v>
      </c>
      <c r="P34" s="85">
        <f>D34*Staff_cost!$I$4</f>
        <v>0</v>
      </c>
      <c r="Q34" s="85">
        <f>E34*Staff_cost!$I$6</f>
        <v>0</v>
      </c>
      <c r="R34" s="85">
        <f>F34*Staff_cost!$I$8</f>
        <v>0</v>
      </c>
      <c r="S34" s="85">
        <f>G34*Staff_cost!$I$10</f>
        <v>0</v>
      </c>
      <c r="T34" s="85">
        <f>H34*Staff_cost!$I$11</f>
        <v>0</v>
      </c>
      <c r="U34" s="85"/>
      <c r="V34" s="85">
        <f>J34*Staff_cost!$I$13</f>
        <v>0</v>
      </c>
      <c r="W34" s="85"/>
      <c r="X34" s="85"/>
      <c r="Y34" s="85"/>
      <c r="Z34" s="85">
        <f>N34*Staff_cost!$I$6</f>
        <v>8.7536249999999995</v>
      </c>
      <c r="AA34" s="185">
        <f t="shared" si="1"/>
        <v>8.7536249999999995</v>
      </c>
      <c r="AB34" s="84" t="str">
        <f t="shared" si="2"/>
        <v>Measles</v>
      </c>
    </row>
    <row r="35" spans="1:28" x14ac:dyDescent="0.25">
      <c r="C35" s="86" t="s">
        <v>523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/>
      <c r="J35" s="67">
        <v>0</v>
      </c>
      <c r="K35" s="67"/>
      <c r="L35" s="67"/>
      <c r="M35" s="67"/>
      <c r="N35" s="86">
        <f>4*3</f>
        <v>12</v>
      </c>
      <c r="O35" s="189">
        <f t="shared" si="0"/>
        <v>12</v>
      </c>
      <c r="P35" s="85">
        <f>D35*Staff_cost!$I$4</f>
        <v>0</v>
      </c>
      <c r="Q35" s="85">
        <f>E35*Staff_cost!$I$6</f>
        <v>0</v>
      </c>
      <c r="R35" s="85">
        <f>F35*Staff_cost!$I$8</f>
        <v>0</v>
      </c>
      <c r="S35" s="85">
        <f>G35*Staff_cost!$I$10</f>
        <v>0</v>
      </c>
      <c r="T35" s="85">
        <f>H35*Staff_cost!$I$11</f>
        <v>0</v>
      </c>
      <c r="U35" s="85"/>
      <c r="V35" s="85">
        <f>J35*Staff_cost!$I$13</f>
        <v>0</v>
      </c>
      <c r="W35" s="85"/>
      <c r="X35" s="85"/>
      <c r="Y35" s="85"/>
      <c r="Z35" s="85">
        <f>N35*Staff_cost!$I$6</f>
        <v>26.260874999999999</v>
      </c>
      <c r="AA35" s="185">
        <f t="shared" si="1"/>
        <v>26.260874999999999</v>
      </c>
      <c r="AB35" s="84" t="str">
        <f t="shared" si="2"/>
        <v>Pneumococcal</v>
      </c>
    </row>
    <row r="36" spans="1:28" x14ac:dyDescent="0.25">
      <c r="C36" s="86" t="s">
        <v>592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/>
      <c r="J36" s="67">
        <v>0</v>
      </c>
      <c r="K36" s="67"/>
      <c r="L36" s="67"/>
      <c r="M36" s="67"/>
      <c r="N36" s="86">
        <v>4</v>
      </c>
      <c r="O36" s="189">
        <f t="shared" si="0"/>
        <v>4</v>
      </c>
      <c r="P36" s="85">
        <f>D36*Staff_cost!$I$4</f>
        <v>0</v>
      </c>
      <c r="Q36" s="85">
        <f>E36*Staff_cost!$I$6</f>
        <v>0</v>
      </c>
      <c r="R36" s="85">
        <f>F36*Staff_cost!$I$8</f>
        <v>0</v>
      </c>
      <c r="S36" s="85">
        <f>G36*Staff_cost!$I$10</f>
        <v>0</v>
      </c>
      <c r="T36" s="85">
        <f>H36*Staff_cost!$I$11</f>
        <v>0</v>
      </c>
      <c r="U36" s="85"/>
      <c r="V36" s="85">
        <f>J36*Staff_cost!$I$13</f>
        <v>0</v>
      </c>
      <c r="W36" s="85"/>
      <c r="X36" s="85"/>
      <c r="Y36" s="85"/>
      <c r="Z36" s="85">
        <f>N36*Staff_cost!$I$6</f>
        <v>8.7536249999999995</v>
      </c>
      <c r="AA36" s="185">
        <f t="shared" si="1"/>
        <v>8.7536249999999995</v>
      </c>
      <c r="AB36" s="84" t="str">
        <f t="shared" si="2"/>
        <v>Hepatitus B</v>
      </c>
    </row>
    <row r="37" spans="1:28" x14ac:dyDescent="0.25">
      <c r="C37" s="8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86"/>
      <c r="O37" s="189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185"/>
      <c r="AB37" s="84"/>
    </row>
    <row r="38" spans="1:28" x14ac:dyDescent="0.25">
      <c r="C38" s="86" t="s">
        <v>593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/>
      <c r="J38" s="67">
        <v>0</v>
      </c>
      <c r="K38" s="67"/>
      <c r="L38" s="67"/>
      <c r="M38" s="67"/>
      <c r="N38" s="86">
        <v>4</v>
      </c>
      <c r="O38" s="189">
        <f t="shared" si="0"/>
        <v>4</v>
      </c>
      <c r="P38" s="85">
        <f>D38*Staff_cost!$I$4</f>
        <v>0</v>
      </c>
      <c r="Q38" s="85">
        <f>E38*Staff_cost!$I$6</f>
        <v>0</v>
      </c>
      <c r="R38" s="85">
        <f>F38*Staff_cost!$I$8</f>
        <v>0</v>
      </c>
      <c r="S38" s="85">
        <f>G38*Staff_cost!$I$10</f>
        <v>0</v>
      </c>
      <c r="T38" s="85">
        <f>H38*Staff_cost!$I$11</f>
        <v>0</v>
      </c>
      <c r="U38" s="85"/>
      <c r="V38" s="85">
        <f>J38*Staff_cost!$I$13</f>
        <v>0</v>
      </c>
      <c r="W38" s="85"/>
      <c r="X38" s="85"/>
      <c r="Y38" s="85"/>
      <c r="Z38" s="85">
        <f>N38*Staff_cost!$I$6</f>
        <v>8.7536249999999995</v>
      </c>
      <c r="AA38" s="185">
        <f t="shared" si="1"/>
        <v>8.7536249999999995</v>
      </c>
      <c r="AB38" s="84" t="str">
        <f t="shared" si="2"/>
        <v xml:space="preserve">Vitamin A Supplementaion </v>
      </c>
    </row>
    <row r="39" spans="1:28" x14ac:dyDescent="0.25"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189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185"/>
      <c r="AB39" s="84"/>
    </row>
    <row r="40" spans="1:28" x14ac:dyDescent="0.25">
      <c r="A40" s="63" t="s">
        <v>282</v>
      </c>
      <c r="C40" s="67" t="s">
        <v>78</v>
      </c>
      <c r="D40" s="67">
        <v>10</v>
      </c>
      <c r="E40" s="67">
        <v>0</v>
      </c>
      <c r="F40" s="67">
        <v>5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189">
        <f t="shared" si="0"/>
        <v>15</v>
      </c>
      <c r="P40" s="85">
        <f>D40*Staff_cost!$I$4</f>
        <v>50.568750000000009</v>
      </c>
      <c r="Q40" s="85">
        <f>E40*Staff_cost!$I$6</f>
        <v>0</v>
      </c>
      <c r="R40" s="85">
        <f>F40*Staff_cost!$I$8</f>
        <v>8.8960312500000001</v>
      </c>
      <c r="S40" s="85">
        <f>G40*Staff_cost!$I$10</f>
        <v>0</v>
      </c>
      <c r="T40" s="85">
        <f>H40*Staff_cost!$I$11</f>
        <v>0</v>
      </c>
      <c r="U40" s="85"/>
      <c r="V40" s="85">
        <f>J40*Staff_cost!$I$13</f>
        <v>0</v>
      </c>
      <c r="W40" s="85"/>
      <c r="X40" s="85"/>
      <c r="Y40" s="85"/>
      <c r="Z40" s="85">
        <f>N40*Staff_cost!$I$6</f>
        <v>0</v>
      </c>
      <c r="AA40" s="185">
        <f t="shared" si="1"/>
        <v>59.464781250000009</v>
      </c>
      <c r="AB40" s="84" t="str">
        <f t="shared" si="2"/>
        <v>Common cold and cough</v>
      </c>
    </row>
    <row r="41" spans="1:28" x14ac:dyDescent="0.25">
      <c r="C41" s="67" t="s">
        <v>79</v>
      </c>
      <c r="D41" s="67">
        <v>10</v>
      </c>
      <c r="E41" s="67">
        <v>0</v>
      </c>
      <c r="F41" s="67">
        <v>5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189">
        <f t="shared" si="0"/>
        <v>15</v>
      </c>
      <c r="P41" s="85">
        <f>D41*Staff_cost!$I$4</f>
        <v>50.568750000000009</v>
      </c>
      <c r="Q41" s="85">
        <f>E41*Staff_cost!$I$6</f>
        <v>0</v>
      </c>
      <c r="R41" s="85">
        <f>F41*Staff_cost!$I$8</f>
        <v>8.8960312500000001</v>
      </c>
      <c r="S41" s="85">
        <f>G41*Staff_cost!$I$10</f>
        <v>0</v>
      </c>
      <c r="T41" s="85">
        <f>H41*Staff_cost!$I$11</f>
        <v>0</v>
      </c>
      <c r="U41" s="85"/>
      <c r="V41" s="85">
        <f>J41*Staff_cost!$I$13</f>
        <v>0</v>
      </c>
      <c r="W41" s="85"/>
      <c r="X41" s="85"/>
      <c r="Y41" s="85"/>
      <c r="Z41" s="85">
        <f>N41*Staff_cost!$I$6</f>
        <v>0</v>
      </c>
      <c r="AA41" s="185">
        <f t="shared" si="1"/>
        <v>59.464781250000009</v>
      </c>
      <c r="AB41" s="84" t="str">
        <f t="shared" si="2"/>
        <v>Acute Bronchitis</v>
      </c>
    </row>
    <row r="42" spans="1:28" x14ac:dyDescent="0.25">
      <c r="C42" s="67" t="s">
        <v>80</v>
      </c>
      <c r="D42" s="67">
        <v>25</v>
      </c>
      <c r="E42" s="67">
        <v>0</v>
      </c>
      <c r="F42" s="67">
        <v>5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189">
        <f t="shared" si="0"/>
        <v>30</v>
      </c>
      <c r="P42" s="85">
        <f>D42*Staff_cost!$I$4</f>
        <v>126.42187500000001</v>
      </c>
      <c r="Q42" s="85">
        <f>E42*Staff_cost!$I$6</f>
        <v>0</v>
      </c>
      <c r="R42" s="85">
        <f>F42*Staff_cost!$I$8</f>
        <v>8.8960312500000001</v>
      </c>
      <c r="S42" s="85">
        <f>G42*Staff_cost!$I$10</f>
        <v>0</v>
      </c>
      <c r="T42" s="85">
        <f>H42*Staff_cost!$I$11</f>
        <v>0</v>
      </c>
      <c r="U42" s="85"/>
      <c r="V42" s="85">
        <f>J42*Staff_cost!$I$13</f>
        <v>0</v>
      </c>
      <c r="W42" s="85"/>
      <c r="X42" s="85"/>
      <c r="Y42" s="85"/>
      <c r="Z42" s="85">
        <f>N42*Staff_cost!$I$6</f>
        <v>0</v>
      </c>
      <c r="AA42" s="185">
        <f t="shared" si="1"/>
        <v>135.31790625000002</v>
      </c>
      <c r="AB42" s="84" t="str">
        <f t="shared" si="2"/>
        <v>Pneumonia</v>
      </c>
    </row>
    <row r="43" spans="1:28" x14ac:dyDescent="0.25">
      <c r="C43" s="67" t="s">
        <v>81</v>
      </c>
      <c r="D43" s="67">
        <v>20</v>
      </c>
      <c r="E43" s="67">
        <v>0</v>
      </c>
      <c r="F43" s="67">
        <v>5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189">
        <f t="shared" si="0"/>
        <v>25</v>
      </c>
      <c r="P43" s="85">
        <f>D43*Staff_cost!$I$4</f>
        <v>101.13750000000002</v>
      </c>
      <c r="Q43" s="85">
        <f>E43*Staff_cost!$I$6</f>
        <v>0</v>
      </c>
      <c r="R43" s="85">
        <f>F43*Staff_cost!$I$8</f>
        <v>8.8960312500000001</v>
      </c>
      <c r="S43" s="85">
        <f>G43*Staff_cost!$I$10</f>
        <v>0</v>
      </c>
      <c r="T43" s="85">
        <f>H43*Staff_cost!$I$11</f>
        <v>0</v>
      </c>
      <c r="U43" s="85"/>
      <c r="V43" s="85">
        <f>J43*Staff_cost!$I$13</f>
        <v>0</v>
      </c>
      <c r="W43" s="85"/>
      <c r="X43" s="85"/>
      <c r="Y43" s="85"/>
      <c r="Z43" s="85">
        <f>N43*Staff_cost!$I$6</f>
        <v>0</v>
      </c>
      <c r="AA43" s="185">
        <f t="shared" si="1"/>
        <v>110.03353125000001</v>
      </c>
      <c r="AB43" s="84" t="str">
        <f t="shared" si="2"/>
        <v>Lower RTI</v>
      </c>
    </row>
    <row r="44" spans="1:28" x14ac:dyDescent="0.25"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189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185"/>
      <c r="AB44" s="84"/>
    </row>
    <row r="45" spans="1:28" x14ac:dyDescent="0.25">
      <c r="A45" s="63" t="s">
        <v>283</v>
      </c>
      <c r="C45" s="67" t="s">
        <v>82</v>
      </c>
      <c r="D45" s="67">
        <v>15</v>
      </c>
      <c r="E45" s="67">
        <v>0</v>
      </c>
      <c r="F45" s="67">
        <v>5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189">
        <f t="shared" si="0"/>
        <v>20</v>
      </c>
      <c r="P45" s="85">
        <f>D45*Staff_cost!$I$4</f>
        <v>75.853125000000006</v>
      </c>
      <c r="Q45" s="85">
        <f>E45*Staff_cost!$I$6</f>
        <v>0</v>
      </c>
      <c r="R45" s="85">
        <f>F45*Staff_cost!$I$8</f>
        <v>8.8960312500000001</v>
      </c>
      <c r="S45" s="85">
        <f>G45*Staff_cost!$I$10</f>
        <v>0</v>
      </c>
      <c r="T45" s="85">
        <f>H45*Staff_cost!$I$11</f>
        <v>0</v>
      </c>
      <c r="U45" s="85"/>
      <c r="V45" s="85">
        <f>J45*Staff_cost!$I$13</f>
        <v>0</v>
      </c>
      <c r="W45" s="85"/>
      <c r="X45" s="85"/>
      <c r="Y45" s="85"/>
      <c r="Z45" s="85">
        <f>N45*Staff_cost!$I$6</f>
        <v>0</v>
      </c>
      <c r="AA45" s="185">
        <f t="shared" si="1"/>
        <v>84.749156249999999</v>
      </c>
      <c r="AB45" s="84" t="str">
        <f t="shared" si="2"/>
        <v>Acute diarrhoea</v>
      </c>
    </row>
    <row r="46" spans="1:28" x14ac:dyDescent="0.25">
      <c r="C46" s="67" t="s">
        <v>83</v>
      </c>
      <c r="D46" s="67">
        <v>15</v>
      </c>
      <c r="E46" s="67">
        <v>0</v>
      </c>
      <c r="F46" s="67">
        <v>5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189">
        <f t="shared" si="0"/>
        <v>20</v>
      </c>
      <c r="P46" s="85">
        <f>D46*Staff_cost!$I$4</f>
        <v>75.853125000000006</v>
      </c>
      <c r="Q46" s="85">
        <f>E46*Staff_cost!$I$6</f>
        <v>0</v>
      </c>
      <c r="R46" s="85">
        <f>F46*Staff_cost!$I$8</f>
        <v>8.8960312500000001</v>
      </c>
      <c r="S46" s="85">
        <f>G46*Staff_cost!$I$10</f>
        <v>0</v>
      </c>
      <c r="T46" s="85">
        <f>H46*Staff_cost!$I$11</f>
        <v>0</v>
      </c>
      <c r="U46" s="85"/>
      <c r="V46" s="85">
        <f>J46*Staff_cost!$I$13</f>
        <v>0</v>
      </c>
      <c r="W46" s="85"/>
      <c r="X46" s="85"/>
      <c r="Y46" s="85"/>
      <c r="Z46" s="85">
        <f>N46*Staff_cost!$I$6</f>
        <v>0</v>
      </c>
      <c r="AA46" s="185">
        <f t="shared" si="1"/>
        <v>84.749156249999999</v>
      </c>
      <c r="AB46" s="84" t="str">
        <f t="shared" si="2"/>
        <v>Chronic diarrhoea</v>
      </c>
    </row>
    <row r="47" spans="1:28" x14ac:dyDescent="0.25">
      <c r="C47" s="67" t="s">
        <v>52</v>
      </c>
      <c r="D47" s="67">
        <v>15</v>
      </c>
      <c r="E47" s="67">
        <v>0</v>
      </c>
      <c r="F47" s="67">
        <v>5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189">
        <f t="shared" si="0"/>
        <v>20</v>
      </c>
      <c r="P47" s="85">
        <f>D47*Staff_cost!$I$4</f>
        <v>75.853125000000006</v>
      </c>
      <c r="Q47" s="85">
        <f>E47*Staff_cost!$I$6</f>
        <v>0</v>
      </c>
      <c r="R47" s="85">
        <f>F47*Staff_cost!$I$8</f>
        <v>8.8960312500000001</v>
      </c>
      <c r="S47" s="85">
        <f>G47*Staff_cost!$I$10</f>
        <v>0</v>
      </c>
      <c r="T47" s="85">
        <f>H47*Staff_cost!$I$11</f>
        <v>0</v>
      </c>
      <c r="U47" s="85"/>
      <c r="V47" s="85">
        <f>J47*Staff_cost!$I$13</f>
        <v>0</v>
      </c>
      <c r="W47" s="85"/>
      <c r="X47" s="85"/>
      <c r="Y47" s="85"/>
      <c r="Z47" s="85">
        <f>N47*Staff_cost!$I$6</f>
        <v>0</v>
      </c>
      <c r="AA47" s="185">
        <f t="shared" si="1"/>
        <v>84.749156249999999</v>
      </c>
      <c r="AB47" s="84" t="str">
        <f t="shared" si="2"/>
        <v>Dysentry</v>
      </c>
    </row>
    <row r="48" spans="1:28" x14ac:dyDescent="0.25"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189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185"/>
      <c r="AB48" s="84"/>
    </row>
    <row r="49" spans="1:28" x14ac:dyDescent="0.25">
      <c r="A49" s="63" t="s">
        <v>284</v>
      </c>
      <c r="C49" s="67" t="s">
        <v>292</v>
      </c>
      <c r="D49" s="67">
        <v>15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189">
        <f t="shared" si="0"/>
        <v>15</v>
      </c>
      <c r="P49" s="85">
        <f>D49*Staff_cost!$I$4</f>
        <v>75.853125000000006</v>
      </c>
      <c r="Q49" s="85">
        <f>E49*Staff_cost!$I$6</f>
        <v>0</v>
      </c>
      <c r="R49" s="85">
        <f>F49*Staff_cost!$I$8</f>
        <v>0</v>
      </c>
      <c r="S49" s="85">
        <f>G49*Staff_cost!$I$10</f>
        <v>0</v>
      </c>
      <c r="T49" s="85">
        <f>H49*Staff_cost!$I$11</f>
        <v>0</v>
      </c>
      <c r="U49" s="85"/>
      <c r="V49" s="85">
        <f>J49*Staff_cost!$I$13</f>
        <v>0</v>
      </c>
      <c r="W49" s="85"/>
      <c r="X49" s="85"/>
      <c r="Y49" s="85"/>
      <c r="Z49" s="85">
        <f>N49*Staff_cost!$I$6</f>
        <v>0</v>
      </c>
      <c r="AA49" s="185">
        <f t="shared" si="1"/>
        <v>75.853125000000006</v>
      </c>
      <c r="AB49" s="84" t="str">
        <f t="shared" si="2"/>
        <v>T.B diagnosis</v>
      </c>
    </row>
    <row r="50" spans="1:28" x14ac:dyDescent="0.25">
      <c r="C50" s="67" t="s">
        <v>286</v>
      </c>
      <c r="D50" s="67">
        <v>10</v>
      </c>
      <c r="E50" s="67">
        <v>100</v>
      </c>
      <c r="F50" s="67">
        <v>15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189">
        <f t="shared" si="0"/>
        <v>125</v>
      </c>
      <c r="P50" s="85">
        <f>D50*Staff_cost!$I$4</f>
        <v>50.568750000000009</v>
      </c>
      <c r="Q50" s="85">
        <f>E50*Staff_cost!$I$6</f>
        <v>218.84062499999999</v>
      </c>
      <c r="R50" s="85">
        <f>F50*Staff_cost!$I$8</f>
        <v>26.688093749999997</v>
      </c>
      <c r="S50" s="85">
        <f>G50*Staff_cost!$I$10</f>
        <v>0</v>
      </c>
      <c r="T50" s="85">
        <f>H50*Staff_cost!$I$11</f>
        <v>0</v>
      </c>
      <c r="U50" s="85"/>
      <c r="V50" s="85">
        <f>J50*Staff_cost!$I$13</f>
        <v>0</v>
      </c>
      <c r="W50" s="85"/>
      <c r="X50" s="85"/>
      <c r="Y50" s="85"/>
      <c r="Z50" s="85">
        <f>N50*Staff_cost!$I$6</f>
        <v>0</v>
      </c>
      <c r="AA50" s="185">
        <f t="shared" si="1"/>
        <v>296.09746875000002</v>
      </c>
      <c r="AB50" s="84" t="str">
        <f t="shared" si="2"/>
        <v>T.B Treatment: Category I</v>
      </c>
    </row>
    <row r="51" spans="1:28" x14ac:dyDescent="0.25">
      <c r="C51" s="67" t="s">
        <v>287</v>
      </c>
      <c r="D51" s="67">
        <v>10</v>
      </c>
      <c r="E51" s="67">
        <v>100</v>
      </c>
      <c r="F51" s="67">
        <v>15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189">
        <f t="shared" si="0"/>
        <v>125</v>
      </c>
      <c r="P51" s="85">
        <f>D51*Staff_cost!$I$4</f>
        <v>50.568750000000009</v>
      </c>
      <c r="Q51" s="85">
        <f>E51*Staff_cost!$I$6</f>
        <v>218.84062499999999</v>
      </c>
      <c r="R51" s="85">
        <f>F51*Staff_cost!$I$8</f>
        <v>26.688093749999997</v>
      </c>
      <c r="S51" s="85">
        <f>G51*Staff_cost!$I$10</f>
        <v>0</v>
      </c>
      <c r="T51" s="85">
        <f>H51*Staff_cost!$I$11</f>
        <v>0</v>
      </c>
      <c r="U51" s="85"/>
      <c r="V51" s="85">
        <f>J51*Staff_cost!$I$13</f>
        <v>0</v>
      </c>
      <c r="W51" s="85"/>
      <c r="X51" s="85"/>
      <c r="Y51" s="85"/>
      <c r="Z51" s="85">
        <f>N51*Staff_cost!$I$6</f>
        <v>0</v>
      </c>
      <c r="AA51" s="185">
        <f t="shared" si="1"/>
        <v>296.09746875000002</v>
      </c>
      <c r="AB51" s="84" t="str">
        <f t="shared" si="2"/>
        <v>T.B Treatment: Category II</v>
      </c>
    </row>
    <row r="52" spans="1:28" x14ac:dyDescent="0.25"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189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185"/>
      <c r="AB52" s="84"/>
    </row>
    <row r="53" spans="1:28" x14ac:dyDescent="0.25">
      <c r="A53" s="63" t="s">
        <v>288</v>
      </c>
      <c r="C53" s="67" t="s">
        <v>291</v>
      </c>
      <c r="D53" s="67">
        <v>15</v>
      </c>
      <c r="E53" s="67">
        <v>0</v>
      </c>
      <c r="F53" s="67">
        <v>10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/>
      <c r="N53" s="67">
        <v>0</v>
      </c>
      <c r="O53" s="189">
        <f t="shared" si="0"/>
        <v>25</v>
      </c>
      <c r="P53" s="85">
        <f>D53*Staff_cost!$I$4</f>
        <v>75.853125000000006</v>
      </c>
      <c r="Q53" s="85">
        <f>E53*Staff_cost!$I$6</f>
        <v>0</v>
      </c>
      <c r="R53" s="85">
        <f>F53*Staff_cost!$I$8</f>
        <v>17.7920625</v>
      </c>
      <c r="S53" s="85">
        <f>G53*Staff_cost!$I$10</f>
        <v>0</v>
      </c>
      <c r="T53" s="85">
        <f>H53*Staff_cost!$I$11</f>
        <v>0</v>
      </c>
      <c r="U53" s="85"/>
      <c r="V53" s="85">
        <f>J53*Staff_cost!$I$13</f>
        <v>0</v>
      </c>
      <c r="W53" s="85"/>
      <c r="X53" s="85"/>
      <c r="Y53" s="85"/>
      <c r="Z53" s="85">
        <f>N53*Staff_cost!$I$6</f>
        <v>0</v>
      </c>
      <c r="AA53" s="185">
        <f t="shared" si="1"/>
        <v>93.645187500000006</v>
      </c>
      <c r="AB53" s="84" t="str">
        <f t="shared" si="2"/>
        <v>Malaria diagnosis and treatment</v>
      </c>
    </row>
    <row r="54" spans="1:28" x14ac:dyDescent="0.25"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189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185"/>
      <c r="AB54" s="84"/>
    </row>
    <row r="55" spans="1:28" x14ac:dyDescent="0.25">
      <c r="A55" s="63" t="s">
        <v>289</v>
      </c>
      <c r="C55" s="67" t="s">
        <v>290</v>
      </c>
      <c r="D55" s="67">
        <v>30</v>
      </c>
      <c r="E55" s="67">
        <v>0</v>
      </c>
      <c r="F55" s="67">
        <v>5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/>
      <c r="N55" s="67">
        <v>0</v>
      </c>
      <c r="O55" s="189">
        <f t="shared" si="0"/>
        <v>35</v>
      </c>
      <c r="P55" s="85">
        <f>D55*Staff_cost!$I$4</f>
        <v>151.70625000000001</v>
      </c>
      <c r="Q55" s="85">
        <f>E55*Staff_cost!$I$6</f>
        <v>0</v>
      </c>
      <c r="R55" s="85">
        <f>F55*Staff_cost!$I$8</f>
        <v>8.8960312500000001</v>
      </c>
      <c r="S55" s="85">
        <f>G55*Staff_cost!$I$10</f>
        <v>0</v>
      </c>
      <c r="T55" s="85">
        <f>H55*Staff_cost!$I$11</f>
        <v>0</v>
      </c>
      <c r="U55" s="85"/>
      <c r="V55" s="85">
        <f>J55*Staff_cost!$I$13</f>
        <v>0</v>
      </c>
      <c r="W55" s="85"/>
      <c r="X55" s="85"/>
      <c r="Y55" s="85"/>
      <c r="Z55" s="85">
        <f>N55*Staff_cost!$I$6</f>
        <v>0</v>
      </c>
      <c r="AA55" s="185">
        <f t="shared" si="1"/>
        <v>160.60228125</v>
      </c>
      <c r="AB55" s="84" t="str">
        <f t="shared" si="2"/>
        <v>Typhoid diagnosis and treatment</v>
      </c>
    </row>
    <row r="56" spans="1:28" x14ac:dyDescent="0.25"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189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185"/>
      <c r="AB56" s="84"/>
    </row>
    <row r="57" spans="1:28" x14ac:dyDescent="0.25">
      <c r="A57" s="63" t="s">
        <v>293</v>
      </c>
      <c r="C57" s="67" t="s">
        <v>294</v>
      </c>
      <c r="D57" s="67">
        <v>30</v>
      </c>
      <c r="E57" s="67">
        <v>0</v>
      </c>
      <c r="F57" s="67">
        <v>5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/>
      <c r="N57" s="67">
        <v>0</v>
      </c>
      <c r="O57" s="189">
        <f t="shared" si="0"/>
        <v>35</v>
      </c>
      <c r="P57" s="85">
        <f>D57*Staff_cost!$I$4</f>
        <v>151.70625000000001</v>
      </c>
      <c r="Q57" s="85">
        <f>E57*Staff_cost!$I$6</f>
        <v>0</v>
      </c>
      <c r="R57" s="85">
        <f>F57*Staff_cost!$I$8</f>
        <v>8.8960312500000001</v>
      </c>
      <c r="S57" s="85">
        <f>G57*Staff_cost!$I$10</f>
        <v>0</v>
      </c>
      <c r="T57" s="85">
        <f>H57*Staff_cost!$I$11</f>
        <v>0</v>
      </c>
      <c r="U57" s="85"/>
      <c r="V57" s="85">
        <f>J57*Staff_cost!$I$13</f>
        <v>0</v>
      </c>
      <c r="W57" s="85"/>
      <c r="X57" s="85"/>
      <c r="Y57" s="85"/>
      <c r="Z57" s="85">
        <f>N57*Staff_cost!$I$6</f>
        <v>0</v>
      </c>
      <c r="AA57" s="185">
        <f t="shared" si="1"/>
        <v>160.60228125</v>
      </c>
      <c r="AB57" s="84" t="str">
        <f t="shared" si="2"/>
        <v>Leishmaniasis: diagnosis and treatment</v>
      </c>
    </row>
    <row r="58" spans="1:28" x14ac:dyDescent="0.25"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189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185"/>
      <c r="AB58" s="84"/>
    </row>
    <row r="59" spans="1:28" x14ac:dyDescent="0.25">
      <c r="A59" s="63" t="s">
        <v>218</v>
      </c>
      <c r="C59" s="67" t="s">
        <v>295</v>
      </c>
      <c r="D59" s="67">
        <v>30</v>
      </c>
      <c r="E59" s="67">
        <v>0</v>
      </c>
      <c r="F59" s="67">
        <v>5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/>
      <c r="N59" s="67">
        <v>0</v>
      </c>
      <c r="O59" s="189">
        <f t="shared" si="0"/>
        <v>35</v>
      </c>
      <c r="P59" s="85">
        <f>D59*Staff_cost!$I$4</f>
        <v>151.70625000000001</v>
      </c>
      <c r="Q59" s="85">
        <f>E59*Staff_cost!$I$6</f>
        <v>0</v>
      </c>
      <c r="R59" s="85">
        <f>F59*Staff_cost!$I$8</f>
        <v>8.8960312500000001</v>
      </c>
      <c r="S59" s="85">
        <f>G59*Staff_cost!$I$10</f>
        <v>0</v>
      </c>
      <c r="T59" s="85">
        <f>H59*Staff_cost!$I$11</f>
        <v>0</v>
      </c>
      <c r="U59" s="85"/>
      <c r="V59" s="85">
        <f>J59*Staff_cost!$I$13</f>
        <v>0</v>
      </c>
      <c r="W59" s="85"/>
      <c r="X59" s="85"/>
      <c r="Y59" s="85"/>
      <c r="Z59" s="85">
        <f>N59*Staff_cost!$I$6</f>
        <v>0</v>
      </c>
      <c r="AA59" s="185">
        <f t="shared" si="1"/>
        <v>160.60228125</v>
      </c>
      <c r="AB59" s="84" t="str">
        <f t="shared" si="2"/>
        <v>Brucellosis: diagnosis  and treatment</v>
      </c>
    </row>
    <row r="60" spans="1:28" x14ac:dyDescent="0.25"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189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185"/>
      <c r="AB60" s="84"/>
    </row>
    <row r="61" spans="1:28" x14ac:dyDescent="0.25">
      <c r="A61" s="63" t="s">
        <v>296</v>
      </c>
      <c r="C61" s="67" t="s">
        <v>297</v>
      </c>
      <c r="D61" s="67">
        <v>20</v>
      </c>
      <c r="E61" s="67">
        <v>0</v>
      </c>
      <c r="F61" s="67">
        <v>5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/>
      <c r="N61" s="67">
        <v>0</v>
      </c>
      <c r="O61" s="189">
        <f t="shared" si="0"/>
        <v>25</v>
      </c>
      <c r="P61" s="85">
        <f>D61*Staff_cost!$I$4</f>
        <v>101.13750000000002</v>
      </c>
      <c r="Q61" s="85">
        <f>E61*Staff_cost!$I$6</f>
        <v>0</v>
      </c>
      <c r="R61" s="85">
        <f>F61*Staff_cost!$I$8</f>
        <v>8.8960312500000001</v>
      </c>
      <c r="S61" s="85">
        <f>G61*Staff_cost!$I$10</f>
        <v>0</v>
      </c>
      <c r="T61" s="85">
        <f>H61*Staff_cost!$I$11</f>
        <v>0</v>
      </c>
      <c r="U61" s="85"/>
      <c r="V61" s="85">
        <f>J61*Staff_cost!$I$13</f>
        <v>0</v>
      </c>
      <c r="W61" s="85"/>
      <c r="X61" s="85"/>
      <c r="Y61" s="85"/>
      <c r="Z61" s="85">
        <f>N61*Staff_cost!$I$6</f>
        <v>0</v>
      </c>
      <c r="AA61" s="185">
        <f t="shared" si="1"/>
        <v>110.03353125000001</v>
      </c>
      <c r="AB61" s="84" t="str">
        <f t="shared" si="2"/>
        <v>Trachoma: diagnosis and treatment</v>
      </c>
    </row>
    <row r="62" spans="1:28" x14ac:dyDescent="0.25"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189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185"/>
      <c r="AB62" s="84"/>
    </row>
    <row r="63" spans="1:28" x14ac:dyDescent="0.25">
      <c r="C63" s="67" t="s">
        <v>545</v>
      </c>
      <c r="D63" s="67">
        <v>25</v>
      </c>
      <c r="E63" s="67">
        <v>0</v>
      </c>
      <c r="F63" s="67">
        <v>5</v>
      </c>
      <c r="G63" s="67">
        <v>0</v>
      </c>
      <c r="H63" s="67">
        <v>0</v>
      </c>
      <c r="I63" s="67"/>
      <c r="J63" s="67">
        <v>5</v>
      </c>
      <c r="K63" s="67"/>
      <c r="L63" s="67"/>
      <c r="M63" s="67"/>
      <c r="N63" s="67">
        <v>0</v>
      </c>
      <c r="O63" s="189">
        <f t="shared" si="0"/>
        <v>35</v>
      </c>
      <c r="P63" s="85">
        <f>D63*Staff_cost!$I$4</f>
        <v>126.42187500000001</v>
      </c>
      <c r="Q63" s="85">
        <f>E63*Staff_cost!$I$6</f>
        <v>0</v>
      </c>
      <c r="R63" s="85">
        <f>F63*Staff_cost!$I$8</f>
        <v>8.8960312500000001</v>
      </c>
      <c r="S63" s="85">
        <f>G63*Staff_cost!$I$10</f>
        <v>0</v>
      </c>
      <c r="T63" s="85">
        <f>H63*Staff_cost!$I$11</f>
        <v>0</v>
      </c>
      <c r="U63" s="85"/>
      <c r="V63" s="85">
        <f>J63*Staff_cost!$I$13</f>
        <v>8.8960312500000001</v>
      </c>
      <c r="W63" s="85"/>
      <c r="X63" s="85"/>
      <c r="Y63" s="85"/>
      <c r="Z63" s="85">
        <f>N63*Staff_cost!$I$6</f>
        <v>0</v>
      </c>
      <c r="AA63" s="185">
        <f t="shared" si="1"/>
        <v>144.21393750000001</v>
      </c>
      <c r="AB63" s="84" t="str">
        <f t="shared" si="2"/>
        <v>Sexually Transmitted Infections</v>
      </c>
    </row>
    <row r="64" spans="1:28" x14ac:dyDescent="0.25"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189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185"/>
      <c r="AB64" s="84"/>
    </row>
    <row r="65" spans="3:28" x14ac:dyDescent="0.25">
      <c r="C65" s="67" t="s">
        <v>547</v>
      </c>
      <c r="D65" s="67">
        <v>10</v>
      </c>
      <c r="E65" s="67">
        <v>0</v>
      </c>
      <c r="F65" s="67">
        <v>5</v>
      </c>
      <c r="G65" s="67">
        <v>0</v>
      </c>
      <c r="H65" s="67">
        <v>0</v>
      </c>
      <c r="I65" s="67"/>
      <c r="J65" s="67">
        <v>0</v>
      </c>
      <c r="K65" s="67"/>
      <c r="L65" s="67"/>
      <c r="M65" s="67"/>
      <c r="N65" s="67">
        <v>0</v>
      </c>
      <c r="O65" s="189">
        <f t="shared" si="0"/>
        <v>15</v>
      </c>
      <c r="P65" s="85">
        <f>D65*Staff_cost!$I$4</f>
        <v>50.568750000000009</v>
      </c>
      <c r="Q65" s="85">
        <f>E65*Staff_cost!$I$6</f>
        <v>0</v>
      </c>
      <c r="R65" s="85">
        <f>F65*Staff_cost!$I$8</f>
        <v>8.8960312500000001</v>
      </c>
      <c r="S65" s="85">
        <f>G65*Staff_cost!$I$10</f>
        <v>0</v>
      </c>
      <c r="T65" s="85">
        <f>H65*Staff_cost!$I$11</f>
        <v>0</v>
      </c>
      <c r="U65" s="85"/>
      <c r="V65" s="85">
        <f>J65*Staff_cost!$I$13</f>
        <v>0</v>
      </c>
      <c r="W65" s="85"/>
      <c r="X65" s="85"/>
      <c r="Y65" s="85"/>
      <c r="Z65" s="85">
        <f>N65*Staff_cost!$I$6</f>
        <v>0</v>
      </c>
      <c r="AA65" s="185">
        <f t="shared" si="1"/>
        <v>59.464781250000009</v>
      </c>
      <c r="AB65" s="84" t="str">
        <f t="shared" si="2"/>
        <v>Urinary Tract Infection</v>
      </c>
    </row>
    <row r="66" spans="3:28" x14ac:dyDescent="0.25">
      <c r="C66" s="186"/>
      <c r="D66" s="175"/>
      <c r="E66" s="186"/>
      <c r="F66" s="175"/>
      <c r="G66" s="186"/>
      <c r="H66" s="175"/>
      <c r="I66" s="186"/>
      <c r="J66" s="175"/>
      <c r="K66" s="186"/>
      <c r="L66" s="175"/>
      <c r="M66" s="186"/>
      <c r="N66" s="175"/>
      <c r="O66" s="187">
        <f>SUM(O5:O65)</f>
        <v>1816</v>
      </c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5"/>
    </row>
    <row r="67" spans="3:28" x14ac:dyDescent="0.25">
      <c r="D67" s="87"/>
      <c r="E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3:28" x14ac:dyDescent="0.25"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3:28" x14ac:dyDescent="0.25">
      <c r="D69" s="87"/>
      <c r="E69" s="87"/>
      <c r="F69" s="87"/>
      <c r="G69" s="87"/>
      <c r="H69" s="87"/>
      <c r="I69" s="87"/>
      <c r="J69" s="87"/>
      <c r="K69" s="87"/>
      <c r="L69" s="87"/>
      <c r="M69" s="87"/>
      <c r="O69" s="88"/>
      <c r="P69" s="87"/>
      <c r="Q69" s="84"/>
      <c r="R69" s="89"/>
      <c r="S69" s="89"/>
    </row>
    <row r="70" spans="3:28" x14ac:dyDescent="0.25">
      <c r="D70" s="87"/>
      <c r="E70" s="87"/>
      <c r="F70" s="87"/>
      <c r="G70" s="87"/>
      <c r="H70" s="87"/>
      <c r="I70" s="87"/>
      <c r="J70" s="87"/>
      <c r="K70" s="87"/>
      <c r="L70" s="87"/>
      <c r="M70" s="87"/>
      <c r="O70" s="88"/>
      <c r="P70" s="87"/>
      <c r="Q70" s="89"/>
    </row>
    <row r="71" spans="3:28" x14ac:dyDescent="0.25">
      <c r="D71" s="87"/>
      <c r="E71" s="87"/>
      <c r="F71" s="87"/>
      <c r="G71" s="87"/>
      <c r="H71" s="87"/>
      <c r="I71" s="87"/>
      <c r="J71" s="87"/>
      <c r="K71" s="87"/>
      <c r="L71" s="87"/>
      <c r="M71" s="87"/>
      <c r="O71" s="88"/>
      <c r="P71" s="87"/>
      <c r="Q71" s="89"/>
    </row>
    <row r="72" spans="3:28" x14ac:dyDescent="0.25">
      <c r="D72" s="87"/>
      <c r="E72" s="87"/>
      <c r="F72" s="87"/>
      <c r="G72" s="87"/>
      <c r="H72" s="87"/>
      <c r="I72" s="87"/>
      <c r="J72" s="87"/>
      <c r="K72" s="87"/>
      <c r="L72" s="87"/>
      <c r="M72" s="87"/>
      <c r="O72" s="88"/>
      <c r="P72" s="87"/>
      <c r="Q72" s="89"/>
    </row>
    <row r="73" spans="3:28" x14ac:dyDescent="0.25">
      <c r="D73" s="87"/>
      <c r="E73" s="87"/>
      <c r="F73" s="87"/>
      <c r="G73" s="87"/>
      <c r="H73" s="87"/>
      <c r="I73" s="87"/>
      <c r="J73" s="87"/>
      <c r="K73" s="87"/>
      <c r="L73" s="87"/>
      <c r="M73" s="87"/>
      <c r="O73" s="88"/>
      <c r="P73" s="87"/>
      <c r="Q73" s="89"/>
    </row>
    <row r="74" spans="3:28" x14ac:dyDescent="0.25">
      <c r="D74" s="87"/>
      <c r="E74" s="87"/>
      <c r="F74" s="87"/>
      <c r="G74" s="87"/>
      <c r="H74" s="87"/>
      <c r="I74" s="87"/>
      <c r="J74" s="87"/>
      <c r="K74" s="87"/>
      <c r="L74" s="87"/>
      <c r="M74" s="87"/>
      <c r="O74" s="88"/>
      <c r="P74" s="87"/>
      <c r="Q74" s="89"/>
    </row>
    <row r="75" spans="3:28" x14ac:dyDescent="0.25">
      <c r="D75" s="87"/>
      <c r="E75" s="87"/>
      <c r="F75" s="87"/>
      <c r="G75" s="87"/>
      <c r="H75" s="87"/>
      <c r="I75" s="87"/>
      <c r="J75" s="87"/>
      <c r="K75" s="87"/>
      <c r="L75" s="87"/>
      <c r="M75" s="87"/>
      <c r="O75" s="88"/>
      <c r="P75" s="87"/>
      <c r="Q75" s="89"/>
    </row>
    <row r="76" spans="3:28" x14ac:dyDescent="0.25">
      <c r="D76" s="87"/>
      <c r="E76" s="87"/>
      <c r="F76" s="87"/>
      <c r="G76" s="87"/>
      <c r="H76" s="87"/>
      <c r="I76" s="87"/>
      <c r="J76" s="87"/>
      <c r="K76" s="87"/>
      <c r="L76" s="87"/>
      <c r="M76" s="87"/>
      <c r="O76" s="88"/>
      <c r="P76" s="87"/>
      <c r="Q76" s="89"/>
    </row>
    <row r="77" spans="3:28" x14ac:dyDescent="0.25">
      <c r="D77" s="87"/>
      <c r="E77" s="87"/>
      <c r="F77" s="87"/>
      <c r="G77" s="87"/>
      <c r="H77" s="87"/>
      <c r="I77" s="87"/>
      <c r="J77" s="87"/>
      <c r="K77" s="87"/>
      <c r="L77" s="87"/>
      <c r="M77" s="87"/>
      <c r="O77" s="88"/>
      <c r="P77" s="87"/>
      <c r="Q77" s="89"/>
    </row>
    <row r="78" spans="3:28" x14ac:dyDescent="0.25">
      <c r="D78" s="87"/>
      <c r="E78" s="87"/>
      <c r="F78" s="87"/>
      <c r="G78" s="87"/>
      <c r="H78" s="87"/>
      <c r="I78" s="87"/>
      <c r="J78" s="87"/>
      <c r="K78" s="87"/>
      <c r="L78" s="87"/>
      <c r="M78" s="87"/>
      <c r="O78" s="88"/>
      <c r="P78" s="87"/>
      <c r="Q78" s="89"/>
    </row>
    <row r="79" spans="3:28" x14ac:dyDescent="0.25">
      <c r="D79" s="87"/>
      <c r="E79" s="87"/>
      <c r="F79" s="87"/>
      <c r="G79" s="87"/>
      <c r="H79" s="87"/>
      <c r="I79" s="87"/>
      <c r="J79" s="87"/>
      <c r="K79" s="87"/>
      <c r="L79" s="87"/>
      <c r="M79" s="87"/>
      <c r="O79" s="88"/>
      <c r="P79" s="87"/>
      <c r="Q79" s="89"/>
    </row>
    <row r="80" spans="3:28" x14ac:dyDescent="0.25">
      <c r="D80" s="87"/>
      <c r="E80" s="87"/>
      <c r="F80" s="87"/>
      <c r="G80" s="87"/>
      <c r="H80" s="87"/>
      <c r="I80" s="87"/>
      <c r="J80" s="87"/>
      <c r="K80" s="87"/>
      <c r="L80" s="87"/>
      <c r="M80" s="87"/>
      <c r="O80" s="88"/>
      <c r="P80" s="87"/>
      <c r="Q80" s="89"/>
    </row>
    <row r="81" spans="4:17" x14ac:dyDescent="0.25">
      <c r="D81" s="87"/>
      <c r="E81" s="87"/>
      <c r="F81" s="87"/>
      <c r="G81" s="87"/>
      <c r="H81" s="87"/>
      <c r="I81" s="87"/>
      <c r="J81" s="87"/>
      <c r="K81" s="87"/>
      <c r="L81" s="87"/>
      <c r="M81" s="87"/>
      <c r="O81" s="88"/>
      <c r="P81" s="87"/>
      <c r="Q81" s="89"/>
    </row>
    <row r="82" spans="4:17" x14ac:dyDescent="0.25">
      <c r="D82" s="87"/>
      <c r="E82" s="87"/>
      <c r="F82" s="87"/>
      <c r="G82" s="87"/>
      <c r="H82" s="87"/>
      <c r="I82" s="87"/>
      <c r="J82" s="87"/>
      <c r="K82" s="87"/>
      <c r="L82" s="87"/>
      <c r="M82" s="87"/>
      <c r="O82" s="88"/>
      <c r="P82" s="87"/>
      <c r="Q82" s="89"/>
    </row>
    <row r="83" spans="4:17" x14ac:dyDescent="0.25">
      <c r="D83" s="87"/>
      <c r="E83" s="87"/>
      <c r="F83" s="87"/>
      <c r="G83" s="87"/>
      <c r="H83" s="87"/>
      <c r="I83" s="87"/>
      <c r="J83" s="87"/>
      <c r="K83" s="87"/>
      <c r="L83" s="87"/>
      <c r="M83" s="87"/>
      <c r="O83" s="88"/>
      <c r="P83" s="87"/>
      <c r="Q83" s="89"/>
    </row>
    <row r="84" spans="4:17" x14ac:dyDescent="0.25">
      <c r="D84" s="87"/>
      <c r="E84" s="87"/>
      <c r="F84" s="87"/>
      <c r="G84" s="87"/>
      <c r="H84" s="87"/>
      <c r="I84" s="87"/>
      <c r="J84" s="87"/>
      <c r="K84" s="87"/>
      <c r="L84" s="87"/>
      <c r="M84" s="87"/>
      <c r="O84" s="88"/>
      <c r="P84" s="87"/>
      <c r="Q84" s="89"/>
    </row>
    <row r="85" spans="4:17" x14ac:dyDescent="0.25">
      <c r="D85" s="87"/>
      <c r="E85" s="87"/>
      <c r="F85" s="87"/>
      <c r="G85" s="87"/>
      <c r="H85" s="87"/>
      <c r="I85" s="87"/>
      <c r="J85" s="87"/>
      <c r="K85" s="87"/>
      <c r="L85" s="87"/>
      <c r="M85" s="87"/>
      <c r="O85" s="88"/>
      <c r="P85" s="87"/>
      <c r="Q85" s="89"/>
    </row>
    <row r="86" spans="4:17" x14ac:dyDescent="0.25">
      <c r="D86" s="87"/>
      <c r="E86" s="87"/>
      <c r="F86" s="87"/>
      <c r="G86" s="87"/>
      <c r="H86" s="87"/>
      <c r="I86" s="87"/>
      <c r="J86" s="87"/>
      <c r="K86" s="87"/>
      <c r="L86" s="87"/>
      <c r="M86" s="87"/>
      <c r="O86" s="88"/>
      <c r="P86" s="87"/>
      <c r="Q86" s="89"/>
    </row>
    <row r="87" spans="4:17" x14ac:dyDescent="0.25">
      <c r="D87" s="87"/>
      <c r="E87" s="87"/>
      <c r="F87" s="87"/>
      <c r="G87" s="87"/>
      <c r="H87" s="87"/>
      <c r="I87" s="87"/>
      <c r="J87" s="87"/>
      <c r="K87" s="87"/>
      <c r="L87" s="87"/>
      <c r="M87" s="87"/>
      <c r="O87" s="88"/>
      <c r="P87" s="87"/>
      <c r="Q87" s="89"/>
    </row>
    <row r="88" spans="4:17" x14ac:dyDescent="0.25">
      <c r="D88" s="87"/>
      <c r="E88" s="87"/>
      <c r="F88" s="87"/>
      <c r="G88" s="87"/>
      <c r="H88" s="87"/>
      <c r="I88" s="87"/>
      <c r="J88" s="87"/>
      <c r="K88" s="87"/>
      <c r="L88" s="87"/>
      <c r="M88" s="87"/>
      <c r="O88" s="88"/>
      <c r="P88" s="87"/>
      <c r="Q88" s="89"/>
    </row>
    <row r="89" spans="4:17" x14ac:dyDescent="0.25">
      <c r="D89" s="87"/>
      <c r="E89" s="87"/>
      <c r="F89" s="87"/>
      <c r="G89" s="87"/>
      <c r="H89" s="87"/>
      <c r="I89" s="87"/>
      <c r="J89" s="87"/>
      <c r="K89" s="87"/>
      <c r="L89" s="87"/>
      <c r="M89" s="87"/>
      <c r="O89" s="88"/>
      <c r="P89" s="87"/>
      <c r="Q89" s="89"/>
    </row>
    <row r="90" spans="4:17" x14ac:dyDescent="0.25">
      <c r="D90" s="87"/>
      <c r="E90" s="87"/>
      <c r="F90" s="87"/>
      <c r="G90" s="87"/>
      <c r="H90" s="87"/>
      <c r="I90" s="87"/>
      <c r="J90" s="87"/>
      <c r="K90" s="87"/>
      <c r="L90" s="87"/>
      <c r="M90" s="87"/>
      <c r="O90" s="88"/>
      <c r="P90" s="87"/>
      <c r="Q90" s="89"/>
    </row>
    <row r="91" spans="4:17" x14ac:dyDescent="0.25">
      <c r="D91" s="87"/>
      <c r="E91" s="87"/>
      <c r="F91" s="87"/>
      <c r="G91" s="87"/>
      <c r="H91" s="87"/>
      <c r="I91" s="87"/>
      <c r="J91" s="87"/>
      <c r="K91" s="87"/>
      <c r="L91" s="87"/>
      <c r="M91" s="87"/>
      <c r="O91" s="88"/>
      <c r="P91" s="87"/>
      <c r="Q91" s="89"/>
    </row>
    <row r="92" spans="4:17" x14ac:dyDescent="0.25">
      <c r="D92" s="87"/>
      <c r="E92" s="87"/>
      <c r="F92" s="87"/>
      <c r="G92" s="87"/>
      <c r="H92" s="87"/>
      <c r="I92" s="87"/>
      <c r="J92" s="87"/>
      <c r="K92" s="87"/>
      <c r="L92" s="87"/>
      <c r="M92" s="87"/>
      <c r="O92" s="88"/>
      <c r="P92" s="87"/>
      <c r="Q92" s="89"/>
    </row>
    <row r="93" spans="4:17" x14ac:dyDescent="0.25">
      <c r="D93" s="87"/>
      <c r="E93" s="87"/>
      <c r="F93" s="87"/>
      <c r="G93" s="87"/>
      <c r="H93" s="87"/>
      <c r="I93" s="87"/>
      <c r="J93" s="87"/>
      <c r="K93" s="87"/>
      <c r="L93" s="87"/>
      <c r="M93" s="87"/>
      <c r="O93" s="88"/>
      <c r="P93" s="87"/>
      <c r="Q93" s="89"/>
    </row>
    <row r="94" spans="4:17" x14ac:dyDescent="0.25">
      <c r="D94" s="87"/>
      <c r="E94" s="87"/>
      <c r="F94" s="87"/>
      <c r="G94" s="87"/>
      <c r="H94" s="87"/>
      <c r="I94" s="87"/>
      <c r="J94" s="87"/>
      <c r="K94" s="87"/>
      <c r="L94" s="87"/>
      <c r="M94" s="87"/>
      <c r="O94" s="88"/>
      <c r="P94" s="87"/>
      <c r="Q94" s="89"/>
    </row>
    <row r="95" spans="4:17" x14ac:dyDescent="0.25">
      <c r="D95" s="87"/>
      <c r="E95" s="87"/>
      <c r="F95" s="87"/>
      <c r="G95" s="87"/>
      <c r="H95" s="87"/>
      <c r="I95" s="87"/>
      <c r="J95" s="87"/>
      <c r="K95" s="87"/>
      <c r="L95" s="87"/>
      <c r="M95" s="87"/>
      <c r="O95" s="88"/>
      <c r="P95" s="87"/>
      <c r="Q95" s="89"/>
    </row>
    <row r="96" spans="4:17" x14ac:dyDescent="0.25">
      <c r="D96" s="87"/>
      <c r="E96" s="87"/>
      <c r="F96" s="87"/>
      <c r="G96" s="87"/>
      <c r="H96" s="87"/>
      <c r="I96" s="87"/>
      <c r="J96" s="87"/>
      <c r="K96" s="87"/>
      <c r="L96" s="87"/>
      <c r="M96" s="87"/>
      <c r="O96" s="88"/>
      <c r="P96" s="87"/>
      <c r="Q96" s="89"/>
    </row>
    <row r="97" spans="4:17" x14ac:dyDescent="0.25">
      <c r="D97" s="87"/>
      <c r="E97" s="87"/>
      <c r="F97" s="87"/>
      <c r="G97" s="87"/>
      <c r="H97" s="87"/>
      <c r="I97" s="87"/>
      <c r="J97" s="87"/>
      <c r="K97" s="87"/>
      <c r="L97" s="87"/>
      <c r="M97" s="87"/>
      <c r="O97" s="88"/>
      <c r="P97" s="87"/>
      <c r="Q97" s="89"/>
    </row>
    <row r="98" spans="4:17" x14ac:dyDescent="0.25">
      <c r="D98" s="87"/>
      <c r="E98" s="87"/>
      <c r="F98" s="87"/>
      <c r="G98" s="87"/>
      <c r="H98" s="87"/>
      <c r="I98" s="87"/>
      <c r="J98" s="87"/>
      <c r="K98" s="87"/>
      <c r="L98" s="87"/>
      <c r="M98" s="87"/>
      <c r="O98" s="88"/>
      <c r="P98" s="87"/>
      <c r="Q98" s="89"/>
    </row>
    <row r="99" spans="4:17" x14ac:dyDescent="0.25">
      <c r="D99" s="87"/>
      <c r="E99" s="87"/>
      <c r="F99" s="87"/>
      <c r="G99" s="87"/>
      <c r="H99" s="87"/>
      <c r="I99" s="87"/>
      <c r="J99" s="87"/>
      <c r="K99" s="87"/>
      <c r="L99" s="87"/>
      <c r="M99" s="87"/>
      <c r="O99" s="88"/>
      <c r="P99" s="87"/>
      <c r="Q99" s="89"/>
    </row>
    <row r="100" spans="4:17" x14ac:dyDescent="0.25"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O100" s="88"/>
      <c r="P100" s="87"/>
      <c r="Q100" s="89"/>
    </row>
    <row r="101" spans="4:17" x14ac:dyDescent="0.25"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O101" s="88"/>
      <c r="P101" s="87"/>
      <c r="Q101" s="89"/>
    </row>
    <row r="102" spans="4:17" x14ac:dyDescent="0.25"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O102" s="88"/>
      <c r="P102" s="87"/>
      <c r="Q102" s="89"/>
    </row>
    <row r="103" spans="4:17" x14ac:dyDescent="0.25"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O103" s="88"/>
      <c r="P103" s="87"/>
      <c r="Q103" s="89"/>
    </row>
    <row r="104" spans="4:17" x14ac:dyDescent="0.25"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O104" s="88"/>
      <c r="P104" s="87"/>
      <c r="Q104" s="89"/>
    </row>
    <row r="105" spans="4:17" x14ac:dyDescent="0.25"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O105" s="88"/>
      <c r="P105" s="87"/>
      <c r="Q105" s="89"/>
    </row>
    <row r="106" spans="4:17" x14ac:dyDescent="0.25"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O106" s="88"/>
      <c r="P106" s="87"/>
      <c r="Q106" s="89"/>
    </row>
    <row r="107" spans="4:17" x14ac:dyDescent="0.25"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O107" s="88"/>
      <c r="P107" s="87"/>
      <c r="Q107" s="89"/>
    </row>
    <row r="108" spans="4:17" x14ac:dyDescent="0.25"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O108" s="88"/>
      <c r="P108" s="87"/>
      <c r="Q108" s="89"/>
    </row>
    <row r="109" spans="4:17" x14ac:dyDescent="0.25"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O109" s="88"/>
      <c r="P109" s="87"/>
      <c r="Q109" s="89"/>
    </row>
    <row r="110" spans="4:17" x14ac:dyDescent="0.25"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O110" s="88"/>
      <c r="P110" s="87"/>
      <c r="Q110" s="89"/>
    </row>
    <row r="111" spans="4:17" x14ac:dyDescent="0.25"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O111" s="88"/>
      <c r="P111" s="87"/>
      <c r="Q111" s="89"/>
    </row>
    <row r="112" spans="4:17" x14ac:dyDescent="0.25"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O112" s="88"/>
      <c r="P112" s="87"/>
      <c r="Q112" s="89"/>
    </row>
    <row r="113" spans="4:17" x14ac:dyDescent="0.25"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O113" s="88"/>
      <c r="P113" s="87"/>
      <c r="Q113" s="89"/>
    </row>
    <row r="114" spans="4:17" x14ac:dyDescent="0.25"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O114" s="88"/>
      <c r="P114" s="87"/>
      <c r="Q114" s="89"/>
    </row>
    <row r="115" spans="4:17" x14ac:dyDescent="0.25"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O115" s="88"/>
      <c r="P115" s="87"/>
      <c r="Q115" s="89"/>
    </row>
    <row r="116" spans="4:17" x14ac:dyDescent="0.25"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O116" s="88"/>
      <c r="P116" s="87"/>
      <c r="Q116" s="89"/>
    </row>
    <row r="117" spans="4:17" x14ac:dyDescent="0.25"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O117" s="88"/>
      <c r="P117" s="87"/>
      <c r="Q117" s="89"/>
    </row>
    <row r="118" spans="4:17" x14ac:dyDescent="0.25"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O118" s="88"/>
      <c r="P118" s="87"/>
      <c r="Q118" s="89"/>
    </row>
    <row r="119" spans="4:17" x14ac:dyDescent="0.25"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O119" s="88"/>
      <c r="P119" s="87"/>
      <c r="Q119" s="89"/>
    </row>
    <row r="120" spans="4:17" x14ac:dyDescent="0.25"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O120" s="88"/>
      <c r="P120" s="87"/>
      <c r="Q120" s="89"/>
    </row>
    <row r="121" spans="4:17" x14ac:dyDescent="0.25"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O121" s="88"/>
      <c r="P121" s="87"/>
      <c r="Q121" s="89"/>
    </row>
    <row r="122" spans="4:17" x14ac:dyDescent="0.25"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O122" s="88"/>
      <c r="P122" s="87"/>
      <c r="Q122" s="89"/>
    </row>
    <row r="123" spans="4:17" x14ac:dyDescent="0.25"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O123" s="88"/>
      <c r="P123" s="87"/>
      <c r="Q123" s="89"/>
    </row>
    <row r="124" spans="4:17" x14ac:dyDescent="0.25"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O124" s="88"/>
      <c r="P124" s="87"/>
      <c r="Q124" s="89"/>
    </row>
    <row r="125" spans="4:17" x14ac:dyDescent="0.25"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O125" s="88"/>
      <c r="P125" s="87"/>
      <c r="Q125" s="89"/>
    </row>
    <row r="126" spans="4:17" x14ac:dyDescent="0.25"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O126" s="88"/>
      <c r="P126" s="87"/>
      <c r="Q126" s="89"/>
    </row>
    <row r="127" spans="4:17" x14ac:dyDescent="0.25"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O127" s="88"/>
      <c r="P127" s="87"/>
      <c r="Q127" s="89"/>
    </row>
    <row r="128" spans="4:17" x14ac:dyDescent="0.25"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O128" s="88"/>
      <c r="P128" s="87"/>
      <c r="Q128" s="89"/>
    </row>
    <row r="129" spans="4:17" x14ac:dyDescent="0.25"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O129" s="88"/>
      <c r="P129" s="87"/>
      <c r="Q129" s="89"/>
    </row>
  </sheetData>
  <sheetProtection algorithmName="SHA-512" hashValue="iIKtrQc7KU4uLE+LCygj+g0qerR19KwputNuZtKEQlO12J9MvCfUgVuX5yJHFeO/apEpsUzbsrybwnUKxBT3Lg==" saltValue="U227ibWZMx7qHSkmbpo3DA==" spinCount="100000" sheet="1" objects="1" scenarios="1"/>
  <mergeCells count="3">
    <mergeCell ref="C3:C4"/>
    <mergeCell ref="D3:O3"/>
    <mergeCell ref="P3:A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M24"/>
  <sheetViews>
    <sheetView showGridLines="0" zoomScaleNormal="100" workbookViewId="0">
      <selection activeCell="C10" sqref="C10"/>
    </sheetView>
  </sheetViews>
  <sheetFormatPr defaultRowHeight="15" x14ac:dyDescent="0.25"/>
  <cols>
    <col min="2" max="2" width="51" bestFit="1" customWidth="1"/>
    <col min="3" max="3" width="20.5703125" bestFit="1" customWidth="1"/>
    <col min="4" max="7" width="16" hidden="1" customWidth="1"/>
    <col min="10" max="10" width="11.5703125" bestFit="1" customWidth="1"/>
    <col min="12" max="12" width="11.5703125" bestFit="1" customWidth="1"/>
  </cols>
  <sheetData>
    <row r="2" spans="2:13" ht="18.75" x14ac:dyDescent="0.25">
      <c r="B2" s="217" t="s">
        <v>778</v>
      </c>
      <c r="C2" s="218"/>
      <c r="D2" s="218"/>
      <c r="E2" s="218"/>
      <c r="F2" s="218"/>
      <c r="G2" s="226"/>
    </row>
    <row r="3" spans="2:13" ht="18.75" x14ac:dyDescent="0.25">
      <c r="B3" s="150" t="s">
        <v>242</v>
      </c>
      <c r="C3" s="152" t="s">
        <v>629</v>
      </c>
      <c r="D3" s="190"/>
      <c r="E3" s="190"/>
      <c r="F3" s="190"/>
      <c r="G3" s="190"/>
    </row>
    <row r="4" spans="2:13" ht="18.75" x14ac:dyDescent="0.3">
      <c r="B4" s="50" t="s">
        <v>595</v>
      </c>
      <c r="C4" s="50">
        <f>BHU_Cost!C6</f>
        <v>2605497.2999999998</v>
      </c>
      <c r="D4" s="21">
        <f>BHU_Cost!D6</f>
        <v>2605497.2999999998</v>
      </c>
      <c r="E4" s="21">
        <f>BHU_Cost!E6</f>
        <v>2605497.2999999998</v>
      </c>
      <c r="F4" s="21">
        <f>BHU_Cost!F6</f>
        <v>2605497.2999999998</v>
      </c>
      <c r="G4" s="21" t="e">
        <f>BHU_Cost!#REF!</f>
        <v>#REF!</v>
      </c>
      <c r="H4" s="21"/>
      <c r="I4" s="21"/>
      <c r="J4" s="21"/>
    </row>
    <row r="5" spans="2:13" ht="18.75" x14ac:dyDescent="0.3">
      <c r="B5" s="50" t="s">
        <v>643</v>
      </c>
      <c r="C5" s="50">
        <f>Operating_Exp!$D$5+Operating_Exp!$D$6+Operating_Exp!$D$9+Operating_Exp!$D$10+Operating_Exp!$D$11+Operating_Exp!$D$12+Operating_Exp!$D$13</f>
        <v>155924.17460317462</v>
      </c>
      <c r="D5" s="21">
        <f>Operating_Exp!$D$5+Operating_Exp!$D$6+Operating_Exp!$D$9+Operating_Exp!$D$10+Operating_Exp!$D$11+Operating_Exp!$D$12+Operating_Exp!$D$13</f>
        <v>155924.17460317462</v>
      </c>
      <c r="E5" s="21">
        <f>Operating_Exp!$D$5+Operating_Exp!$D$6+Operating_Exp!$D$9+Operating_Exp!$D$10+Operating_Exp!$D$11+Operating_Exp!$D$12+Operating_Exp!$D$13</f>
        <v>155924.17460317462</v>
      </c>
      <c r="F5" s="21">
        <f>Operating_Exp!$D$5+Operating_Exp!$D$6+Operating_Exp!$D$9+Operating_Exp!$D$10+Operating_Exp!$D$11+Operating_Exp!$D$12+Operating_Exp!$D$13</f>
        <v>155924.17460317462</v>
      </c>
      <c r="G5" s="21">
        <f>Operating_Exp!$D$5+Operating_Exp!$D$6+Operating_Exp!$D$9+Operating_Exp!$D$10+Operating_Exp!$D$11+Operating_Exp!$D$12+Operating_Exp!$D$13</f>
        <v>155924.17460317462</v>
      </c>
      <c r="H5" s="21"/>
    </row>
    <row r="6" spans="2:13" ht="18.75" x14ac:dyDescent="0.25">
      <c r="B6" s="150" t="s">
        <v>763</v>
      </c>
      <c r="C6" s="153">
        <f>SUM(C4:C5)</f>
        <v>2761421.4746031743</v>
      </c>
      <c r="D6" s="21">
        <f t="shared" ref="D6:G6" si="0">SUM(D4:D5)</f>
        <v>2761421.4746031743</v>
      </c>
      <c r="E6" s="21">
        <f t="shared" si="0"/>
        <v>2761421.4746031743</v>
      </c>
      <c r="F6" s="21">
        <f t="shared" si="0"/>
        <v>2761421.4746031743</v>
      </c>
      <c r="G6" s="21" t="e">
        <f t="shared" si="0"/>
        <v>#REF!</v>
      </c>
      <c r="H6" s="21"/>
      <c r="I6" s="21"/>
      <c r="L6" s="21"/>
    </row>
    <row r="7" spans="2:13" x14ac:dyDescent="0.25">
      <c r="C7" s="21"/>
      <c r="D7" s="21"/>
      <c r="E7" s="21"/>
      <c r="F7" s="21"/>
      <c r="G7" s="21"/>
      <c r="H7" s="21"/>
      <c r="I7" s="21"/>
      <c r="K7" s="21"/>
    </row>
    <row r="8" spans="2:13" s="19" customFormat="1" ht="18.75" x14ac:dyDescent="0.25">
      <c r="B8" s="217" t="s">
        <v>782</v>
      </c>
      <c r="C8" s="218"/>
      <c r="D8" s="218"/>
      <c r="E8" s="218"/>
      <c r="F8" s="218"/>
      <c r="G8" s="226"/>
      <c r="H8" s="21"/>
      <c r="I8" s="21"/>
      <c r="K8" s="21"/>
    </row>
    <row r="9" spans="2:13" ht="18.75" x14ac:dyDescent="0.3">
      <c r="B9" s="50" t="s">
        <v>777</v>
      </c>
      <c r="C9" s="132">
        <f>Sheet1!$H$75</f>
        <v>61.472843509064838</v>
      </c>
      <c r="D9" s="21">
        <f>Sheet1!$I$62/Sheet1!$H$68</f>
        <v>76.841054386331024</v>
      </c>
      <c r="E9" s="21">
        <f>Sheet1!$I$62/Sheet1!$H$68</f>
        <v>76.841054386331024</v>
      </c>
      <c r="F9" s="21">
        <f>Sheet1!$I$62/Sheet1!$H$68</f>
        <v>76.841054386331024</v>
      </c>
      <c r="G9" s="21">
        <f>Sheet1!$I$62/Sheet1!$H$68</f>
        <v>76.841054386331024</v>
      </c>
      <c r="H9" s="21"/>
      <c r="I9" s="21"/>
      <c r="K9" s="21"/>
      <c r="L9" s="19"/>
      <c r="M9" s="35"/>
    </row>
    <row r="10" spans="2:13" ht="18.75" x14ac:dyDescent="0.3">
      <c r="B10" s="134" t="s">
        <v>761</v>
      </c>
      <c r="C10" s="149">
        <v>0</v>
      </c>
      <c r="D10" s="21">
        <v>7500</v>
      </c>
      <c r="E10" s="21"/>
      <c r="F10" s="21"/>
      <c r="G10" s="21"/>
      <c r="H10" s="21"/>
      <c r="I10" s="139"/>
      <c r="J10" s="43" t="s">
        <v>795</v>
      </c>
      <c r="K10" s="21"/>
      <c r="L10" s="19"/>
      <c r="M10" s="35"/>
    </row>
    <row r="11" spans="2:13" s="19" customFormat="1" ht="18.75" x14ac:dyDescent="0.3">
      <c r="B11" s="50" t="s">
        <v>779</v>
      </c>
      <c r="C11" s="132">
        <f>'11.Immunisation'!$C$53</f>
        <v>3344.4871999999996</v>
      </c>
      <c r="D11" s="21"/>
      <c r="E11" s="21"/>
      <c r="F11" s="21"/>
      <c r="G11" s="21"/>
      <c r="H11" s="21"/>
      <c r="I11" s="21"/>
      <c r="K11" s="21"/>
      <c r="M11" s="35"/>
    </row>
    <row r="12" spans="2:13" ht="18.75" x14ac:dyDescent="0.3">
      <c r="B12" s="134" t="s">
        <v>780</v>
      </c>
      <c r="C12" s="149">
        <v>0</v>
      </c>
      <c r="D12" s="21"/>
      <c r="E12" s="21"/>
      <c r="F12" s="21"/>
      <c r="G12" s="21"/>
      <c r="H12" s="21"/>
      <c r="I12" s="21"/>
      <c r="K12" s="21"/>
      <c r="L12" s="19"/>
      <c r="M12" s="35"/>
    </row>
    <row r="13" spans="2:13" ht="18.75" x14ac:dyDescent="0.3">
      <c r="B13" s="50" t="s">
        <v>781</v>
      </c>
      <c r="C13" s="132">
        <f>$C$10*$C$9*buffer_stock</f>
        <v>0</v>
      </c>
      <c r="D13" s="21">
        <f>D9*D10</f>
        <v>576307.90789748263</v>
      </c>
      <c r="E13" s="21">
        <f>E9*E10</f>
        <v>0</v>
      </c>
      <c r="F13" s="21">
        <f>F9*F10</f>
        <v>0</v>
      </c>
      <c r="G13" s="21">
        <f>G9*G10</f>
        <v>0</v>
      </c>
      <c r="H13" s="21"/>
      <c r="I13" s="21"/>
      <c r="J13" s="21"/>
    </row>
    <row r="14" spans="2:13" s="19" customFormat="1" ht="18.75" x14ac:dyDescent="0.3">
      <c r="B14" s="50" t="s">
        <v>783</v>
      </c>
      <c r="C14" s="132">
        <f>$C$11*$C$12</f>
        <v>0</v>
      </c>
      <c r="D14" s="21"/>
      <c r="E14" s="21"/>
      <c r="F14" s="21"/>
      <c r="G14" s="21"/>
      <c r="H14" s="21"/>
      <c r="I14" s="21"/>
      <c r="J14" s="21"/>
    </row>
    <row r="15" spans="2:13" ht="18.75" x14ac:dyDescent="0.25">
      <c r="B15" s="150"/>
      <c r="C15" s="150"/>
      <c r="D15" s="21"/>
      <c r="E15" s="21"/>
      <c r="F15" s="21"/>
      <c r="G15" s="21"/>
      <c r="H15" s="21"/>
      <c r="I15" s="21"/>
      <c r="J15" s="21"/>
    </row>
    <row r="16" spans="2:13" x14ac:dyDescent="0.25">
      <c r="C16" s="21"/>
      <c r="D16" s="21">
        <f>SUM(D13:D13)</f>
        <v>576307.90789748263</v>
      </c>
      <c r="E16" s="21">
        <f>SUM(E13:E13)</f>
        <v>0</v>
      </c>
      <c r="F16" s="21">
        <f>SUM(F13:F13)</f>
        <v>0</v>
      </c>
      <c r="G16" s="21">
        <f>SUM(G13:G13)</f>
        <v>0</v>
      </c>
      <c r="H16" s="21"/>
      <c r="I16" s="21"/>
      <c r="J16" s="21"/>
    </row>
    <row r="17" spans="2:10" ht="18.75" x14ac:dyDescent="0.25">
      <c r="B17" s="217" t="s">
        <v>784</v>
      </c>
      <c r="C17" s="218"/>
      <c r="D17" s="218"/>
      <c r="E17" s="218"/>
      <c r="F17" s="218"/>
      <c r="G17" s="226"/>
      <c r="H17" s="21"/>
      <c r="I17" s="21"/>
      <c r="J17" s="21"/>
    </row>
    <row r="18" spans="2:10" ht="18.75" x14ac:dyDescent="0.3">
      <c r="B18" s="50" t="s">
        <v>763</v>
      </c>
      <c r="C18" s="132">
        <f>C6</f>
        <v>2761421.4746031743</v>
      </c>
      <c r="D18" s="21"/>
      <c r="E18" s="21"/>
      <c r="F18" s="21"/>
      <c r="G18" s="21"/>
      <c r="H18" s="21"/>
      <c r="I18" s="21"/>
      <c r="J18" s="21"/>
    </row>
    <row r="19" spans="2:10" ht="18.75" x14ac:dyDescent="0.3">
      <c r="B19" s="50" t="str">
        <f>B13</f>
        <v>Cost of treatment (exclduing immunisation)</v>
      </c>
      <c r="C19" s="132">
        <f>C13</f>
        <v>0</v>
      </c>
      <c r="D19" s="21"/>
      <c r="E19" s="21"/>
      <c r="F19" s="21"/>
      <c r="G19" s="21"/>
      <c r="H19" s="21"/>
      <c r="I19" s="21"/>
      <c r="J19" s="21"/>
    </row>
    <row r="20" spans="2:10" ht="18.75" x14ac:dyDescent="0.3">
      <c r="B20" s="50" t="s">
        <v>783</v>
      </c>
      <c r="C20" s="132">
        <f>C14</f>
        <v>0</v>
      </c>
      <c r="D20" s="21"/>
      <c r="E20" s="21"/>
      <c r="F20" s="21"/>
      <c r="G20" s="21"/>
      <c r="H20" s="21"/>
      <c r="I20" s="21"/>
      <c r="J20" s="21"/>
    </row>
    <row r="21" spans="2:10" x14ac:dyDescent="0.25">
      <c r="C21" s="21"/>
      <c r="D21" s="21"/>
      <c r="E21" s="21"/>
      <c r="F21" s="21"/>
      <c r="G21" s="21"/>
      <c r="H21" s="21"/>
      <c r="I21" s="21"/>
      <c r="J21" s="21"/>
    </row>
    <row r="22" spans="2:10" x14ac:dyDescent="0.25">
      <c r="C22" s="21"/>
      <c r="D22" s="21"/>
      <c r="E22" s="21"/>
      <c r="F22" s="21"/>
      <c r="G22" s="21"/>
      <c r="H22" s="21"/>
      <c r="I22" s="21"/>
      <c r="J22" s="21"/>
    </row>
    <row r="23" spans="2:10" ht="18.75" x14ac:dyDescent="0.25">
      <c r="B23" s="150" t="s">
        <v>785</v>
      </c>
      <c r="C23" s="191">
        <f>C18+C19+C20</f>
        <v>2761421.4746031743</v>
      </c>
    </row>
    <row r="24" spans="2:10" ht="18.75" x14ac:dyDescent="0.25">
      <c r="B24" s="150" t="s">
        <v>786</v>
      </c>
      <c r="C24" s="191">
        <f>C18+C19</f>
        <v>2761421.4746031743</v>
      </c>
    </row>
  </sheetData>
  <sheetProtection sheet="1" objects="1" scenarios="1"/>
  <mergeCells count="3">
    <mergeCell ref="B2:G2"/>
    <mergeCell ref="B8:G8"/>
    <mergeCell ref="B17:G17"/>
  </mergeCells>
  <pageMargins left="0.7" right="0.7" top="0.75" bottom="0.75" header="0.3" footer="0.3"/>
  <pageSetup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B1:K47"/>
  <sheetViews>
    <sheetView showGridLines="0" workbookViewId="0">
      <selection activeCell="B24" sqref="B24"/>
    </sheetView>
  </sheetViews>
  <sheetFormatPr defaultRowHeight="15" x14ac:dyDescent="0.25"/>
  <cols>
    <col min="1" max="1" width="9.140625" style="19"/>
    <col min="2" max="2" width="79.7109375" style="19" bestFit="1" customWidth="1"/>
    <col min="3" max="3" width="10" style="19" customWidth="1"/>
    <col min="4" max="4" width="9.85546875" style="19" customWidth="1"/>
    <col min="5" max="5" width="11.5703125" style="19" customWidth="1"/>
    <col min="6" max="6" width="9.5703125" style="19" customWidth="1"/>
    <col min="7" max="7" width="8.5703125" style="19" customWidth="1"/>
    <col min="8" max="8" width="11.5703125" style="19" customWidth="1"/>
    <col min="9" max="16384" width="9.140625" style="19"/>
  </cols>
  <sheetData>
    <row r="1" spans="2:11" x14ac:dyDescent="0.25">
      <c r="B1" s="20" t="s">
        <v>251</v>
      </c>
    </row>
    <row r="3" spans="2:11" ht="15.75" x14ac:dyDescent="0.25">
      <c r="B3" s="247" t="s">
        <v>161</v>
      </c>
      <c r="C3" s="247"/>
      <c r="D3" s="247"/>
      <c r="E3" s="247"/>
      <c r="F3" s="247"/>
      <c r="G3" s="247"/>
      <c r="H3" s="247"/>
      <c r="I3" s="247"/>
    </row>
    <row r="4" spans="2:11" ht="15" customHeight="1" x14ac:dyDescent="0.25">
      <c r="B4" s="248" t="s">
        <v>0</v>
      </c>
      <c r="C4" s="250" t="s">
        <v>5</v>
      </c>
      <c r="D4" s="250"/>
      <c r="E4" s="250" t="s">
        <v>6</v>
      </c>
      <c r="F4" s="251" t="s">
        <v>513</v>
      </c>
      <c r="G4" s="253" t="s">
        <v>3</v>
      </c>
      <c r="H4" s="254"/>
      <c r="I4" s="250" t="s">
        <v>9</v>
      </c>
    </row>
    <row r="5" spans="2:11" x14ac:dyDescent="0.25">
      <c r="B5" s="249"/>
      <c r="C5" s="7" t="s">
        <v>4</v>
      </c>
      <c r="D5" s="7" t="s">
        <v>7</v>
      </c>
      <c r="E5" s="250"/>
      <c r="F5" s="252"/>
      <c r="G5" s="7" t="s">
        <v>8</v>
      </c>
      <c r="H5" s="7" t="s">
        <v>2</v>
      </c>
      <c r="I5" s="250"/>
    </row>
    <row r="6" spans="2:11" x14ac:dyDescent="0.25">
      <c r="B6" s="31"/>
      <c r="C6" s="32"/>
      <c r="D6" s="32"/>
      <c r="E6" s="32"/>
      <c r="F6" s="38"/>
      <c r="G6" s="32">
        <f>C6*D6*E6*F6</f>
        <v>0</v>
      </c>
      <c r="H6" s="33" t="str">
        <f>IF(G6=0,"",(VLOOKUP($B$6:$B$15,Drugs_list!$C$9:$K$172,7,FALSE)))</f>
        <v/>
      </c>
      <c r="I6" s="33" t="str">
        <f>IF(G6=0,"",(G6*H6))</f>
        <v/>
      </c>
      <c r="K6" s="19" t="e">
        <f>VLOOKUP($B$6:$B$15,Drugs_list!$C$9:$K$172,9,FALSE)</f>
        <v>#N/A</v>
      </c>
    </row>
    <row r="7" spans="2:11" x14ac:dyDescent="0.25">
      <c r="B7" s="31"/>
      <c r="C7" s="32"/>
      <c r="D7" s="32"/>
      <c r="E7" s="32"/>
      <c r="F7" s="38"/>
      <c r="G7" s="32">
        <f t="shared" ref="G7:G15" si="0">C7*D7*E7*F7</f>
        <v>0</v>
      </c>
      <c r="H7" s="33" t="str">
        <f>IF(G7=0,"",(VLOOKUP($B$6:$B$15,Drugs_list!$C$9:$K$172,7,FALSE)))</f>
        <v/>
      </c>
      <c r="I7" s="33" t="str">
        <f t="shared" ref="I7:I15" si="1">IF(G7=0,"",(G7*H7))</f>
        <v/>
      </c>
      <c r="K7" s="19" t="e">
        <f>VLOOKUP($B$6:$B$15,Drugs_list!$C$9:$K$172,9,FALSE)</f>
        <v>#N/A</v>
      </c>
    </row>
    <row r="8" spans="2:11" x14ac:dyDescent="0.25">
      <c r="B8" s="31"/>
      <c r="C8" s="32"/>
      <c r="D8" s="32"/>
      <c r="E8" s="32"/>
      <c r="F8" s="38"/>
      <c r="G8" s="32">
        <f t="shared" si="0"/>
        <v>0</v>
      </c>
      <c r="H8" s="33" t="str">
        <f>IF(G8=0,"",(VLOOKUP($B$6:$B$15,Drugs_list!$C$9:$K$172,7,FALSE)))</f>
        <v/>
      </c>
      <c r="I8" s="33" t="str">
        <f t="shared" si="1"/>
        <v/>
      </c>
      <c r="K8" s="19" t="e">
        <f>VLOOKUP($B$6:$B$15,Drugs_list!$C$9:$K$172,9,FALSE)</f>
        <v>#N/A</v>
      </c>
    </row>
    <row r="9" spans="2:11" x14ac:dyDescent="0.25">
      <c r="B9" s="31"/>
      <c r="C9" s="32"/>
      <c r="D9" s="32"/>
      <c r="E9" s="32"/>
      <c r="F9" s="38"/>
      <c r="G9" s="32">
        <f t="shared" si="0"/>
        <v>0</v>
      </c>
      <c r="H9" s="33" t="str">
        <f>IF(G9=0,"",(VLOOKUP($B$6:$B$15,Drugs_list!$C$9:$K$172,7,FALSE)))</f>
        <v/>
      </c>
      <c r="I9" s="33" t="str">
        <f t="shared" si="1"/>
        <v/>
      </c>
      <c r="K9" s="19" t="e">
        <f>VLOOKUP($B$6:$B$15,Drugs_list!$C$9:$K$172,9,FALSE)</f>
        <v>#N/A</v>
      </c>
    </row>
    <row r="10" spans="2:11" x14ac:dyDescent="0.25">
      <c r="B10" s="31"/>
      <c r="C10" s="32"/>
      <c r="D10" s="32"/>
      <c r="E10" s="32"/>
      <c r="F10" s="38"/>
      <c r="G10" s="32">
        <f t="shared" si="0"/>
        <v>0</v>
      </c>
      <c r="H10" s="33" t="str">
        <f>IF(G10=0,"",(VLOOKUP($B$6:$B$15,Drugs_list!$C$9:$K$172,7,FALSE)))</f>
        <v/>
      </c>
      <c r="I10" s="33" t="str">
        <f t="shared" si="1"/>
        <v/>
      </c>
      <c r="K10" s="19" t="e">
        <f>VLOOKUP($B$6:$B$15,Drugs_list!$C$9:$K$172,9,FALSE)</f>
        <v>#N/A</v>
      </c>
    </row>
    <row r="11" spans="2:11" x14ac:dyDescent="0.25">
      <c r="B11" s="31"/>
      <c r="C11" s="32"/>
      <c r="D11" s="32"/>
      <c r="E11" s="32"/>
      <c r="F11" s="38"/>
      <c r="G11" s="32">
        <f t="shared" si="0"/>
        <v>0</v>
      </c>
      <c r="H11" s="33" t="str">
        <f>IF(G11=0,"",(VLOOKUP($B$6:$B$15,Drugs_list!$C$9:$K$172,7,FALSE)))</f>
        <v/>
      </c>
      <c r="I11" s="33" t="str">
        <f t="shared" si="1"/>
        <v/>
      </c>
      <c r="K11" s="19" t="e">
        <f>VLOOKUP($B$6:$B$15,Drugs_list!$C$9:$K$172,9,FALSE)</f>
        <v>#N/A</v>
      </c>
    </row>
    <row r="12" spans="2:11" x14ac:dyDescent="0.25">
      <c r="B12" s="31"/>
      <c r="C12" s="32"/>
      <c r="D12" s="32"/>
      <c r="E12" s="32"/>
      <c r="F12" s="38"/>
      <c r="G12" s="32">
        <f t="shared" si="0"/>
        <v>0</v>
      </c>
      <c r="H12" s="33" t="str">
        <f>IF(G12=0,"",(VLOOKUP($B$6:$B$15,Drugs_list!$C$9:$K$172,7,FALSE)))</f>
        <v/>
      </c>
      <c r="I12" s="33" t="str">
        <f t="shared" si="1"/>
        <v/>
      </c>
      <c r="K12" s="19" t="e">
        <f>VLOOKUP($B$6:$B$15,Drugs_list!$C$9:$K$172,9,FALSE)</f>
        <v>#N/A</v>
      </c>
    </row>
    <row r="13" spans="2:11" x14ac:dyDescent="0.25">
      <c r="B13" s="31"/>
      <c r="C13" s="32"/>
      <c r="D13" s="32"/>
      <c r="E13" s="32"/>
      <c r="F13" s="38"/>
      <c r="G13" s="32">
        <f t="shared" si="0"/>
        <v>0</v>
      </c>
      <c r="H13" s="33" t="str">
        <f>IF(G13=0,"",(VLOOKUP($B$6:$B$15,Drugs_list!$C$9:$K$172,7,FALSE)))</f>
        <v/>
      </c>
      <c r="I13" s="33" t="str">
        <f t="shared" si="1"/>
        <v/>
      </c>
      <c r="K13" s="19" t="e">
        <f>VLOOKUP($B$6:$B$15,Drugs_list!$C$9:$K$172,9,FALSE)</f>
        <v>#N/A</v>
      </c>
    </row>
    <row r="14" spans="2:11" x14ac:dyDescent="0.25">
      <c r="B14" s="31"/>
      <c r="C14" s="32"/>
      <c r="D14" s="32"/>
      <c r="E14" s="32"/>
      <c r="F14" s="38"/>
      <c r="G14" s="32">
        <f t="shared" si="0"/>
        <v>0</v>
      </c>
      <c r="H14" s="33" t="str">
        <f>IF(G14=0,"",(VLOOKUP($B$6:$B$15,Drugs_list!$C$9:$K$172,7,FALSE)))</f>
        <v/>
      </c>
      <c r="I14" s="33" t="str">
        <f t="shared" si="1"/>
        <v/>
      </c>
      <c r="K14" s="19" t="e">
        <f>VLOOKUP($B$6:$B$15,Drugs_list!$C$9:$K$172,9,FALSE)</f>
        <v>#N/A</v>
      </c>
    </row>
    <row r="15" spans="2:11" x14ac:dyDescent="0.25">
      <c r="B15" s="31"/>
      <c r="C15" s="32"/>
      <c r="D15" s="32"/>
      <c r="E15" s="32"/>
      <c r="F15" s="38"/>
      <c r="G15" s="32">
        <f t="shared" si="0"/>
        <v>0</v>
      </c>
      <c r="H15" s="33" t="str">
        <f>IF(G15=0,"",(VLOOKUP($B$6:$B$15,Drugs_list!$C$9:$K$172,7,FALSE)))</f>
        <v/>
      </c>
      <c r="I15" s="33" t="str">
        <f t="shared" si="1"/>
        <v/>
      </c>
      <c r="K15" s="19" t="e">
        <f>VLOOKUP($B$6:$B$15,Drugs_list!$C$9:$K$172,9,FALSE)</f>
        <v>#N/A</v>
      </c>
    </row>
    <row r="16" spans="2:11" x14ac:dyDescent="0.25">
      <c r="B16" s="10" t="s">
        <v>8</v>
      </c>
      <c r="C16" s="11"/>
      <c r="D16" s="11"/>
      <c r="E16" s="11"/>
      <c r="F16" s="11"/>
      <c r="G16" s="11"/>
      <c r="H16" s="11"/>
      <c r="I16" s="34">
        <f>SUM(I6:I15)</f>
        <v>0</v>
      </c>
    </row>
    <row r="19" spans="2:6" ht="15.75" x14ac:dyDescent="0.25">
      <c r="B19" s="247" t="s">
        <v>162</v>
      </c>
      <c r="C19" s="247"/>
      <c r="D19" s="247"/>
      <c r="E19" s="247"/>
      <c r="F19" s="247"/>
    </row>
    <row r="20" spans="2:6" ht="19.5" customHeight="1" x14ac:dyDescent="0.25">
      <c r="B20" s="12" t="s">
        <v>0</v>
      </c>
      <c r="C20" s="7" t="s">
        <v>1</v>
      </c>
      <c r="D20" s="7" t="s">
        <v>513</v>
      </c>
      <c r="E20" s="7" t="s">
        <v>159</v>
      </c>
      <c r="F20" s="7" t="s">
        <v>160</v>
      </c>
    </row>
    <row r="21" spans="2:6" x14ac:dyDescent="0.25">
      <c r="B21" s="31"/>
      <c r="C21" s="32"/>
      <c r="D21" s="38"/>
      <c r="E21" s="32" t="str">
        <f>IF(C21="","",(VLOOKUP($B$21:$B$30,Supplies_list!$C$8:$G$64,5,FALSE)))</f>
        <v/>
      </c>
      <c r="F21" s="32" t="str">
        <f>IF(C21="","",(C21*D21*E21))</f>
        <v/>
      </c>
    </row>
    <row r="22" spans="2:6" x14ac:dyDescent="0.25">
      <c r="B22" s="31"/>
      <c r="C22" s="32"/>
      <c r="D22" s="38"/>
      <c r="E22" s="32" t="str">
        <f>IF(C22="","",(VLOOKUP($B$21:$B$30,Supplies_list!$C$8:$G$64,5,FALSE)))</f>
        <v/>
      </c>
      <c r="F22" s="32" t="str">
        <f t="shared" ref="F22:F30" si="2">IF(C22="","",(C22*D22*E22))</f>
        <v/>
      </c>
    </row>
    <row r="23" spans="2:6" x14ac:dyDescent="0.25">
      <c r="B23" s="31"/>
      <c r="C23" s="32"/>
      <c r="D23" s="38"/>
      <c r="E23" s="32" t="str">
        <f>IF(C23="","",(VLOOKUP($B$21:$B$30,Supplies_list!$C$8:$G$64,5,FALSE)))</f>
        <v/>
      </c>
      <c r="F23" s="32" t="str">
        <f t="shared" si="2"/>
        <v/>
      </c>
    </row>
    <row r="24" spans="2:6" x14ac:dyDescent="0.25">
      <c r="B24" s="31"/>
      <c r="C24" s="36"/>
      <c r="D24" s="39"/>
      <c r="E24" s="32" t="str">
        <f>IF(C24="","",(VLOOKUP($B$21:$B$30,Supplies_list!$C$8:$G$64,5,FALSE)))</f>
        <v/>
      </c>
      <c r="F24" s="32" t="str">
        <f t="shared" si="2"/>
        <v/>
      </c>
    </row>
    <row r="25" spans="2:6" x14ac:dyDescent="0.25">
      <c r="B25" s="31"/>
      <c r="C25" s="32"/>
      <c r="D25" s="38"/>
      <c r="E25" s="32" t="str">
        <f>IF(C25="","",(VLOOKUP($B$21:$B$30,Supplies_list!$C$8:$G$64,5,FALSE)))</f>
        <v/>
      </c>
      <c r="F25" s="32" t="str">
        <f t="shared" si="2"/>
        <v/>
      </c>
    </row>
    <row r="26" spans="2:6" x14ac:dyDescent="0.25">
      <c r="B26" s="31"/>
      <c r="C26" s="32"/>
      <c r="D26" s="38"/>
      <c r="E26" s="32" t="str">
        <f>IF(C26="","",(VLOOKUP($B$21:$B$30,Supplies_list!$C$8:$G$64,5,FALSE)))</f>
        <v/>
      </c>
      <c r="F26" s="32" t="str">
        <f t="shared" si="2"/>
        <v/>
      </c>
    </row>
    <row r="27" spans="2:6" x14ac:dyDescent="0.25">
      <c r="B27" s="31"/>
      <c r="C27" s="32"/>
      <c r="D27" s="38"/>
      <c r="E27" s="32" t="str">
        <f>IF(C27="","",(VLOOKUP($B$21:$B$30,Supplies_list!$C$8:$G$64,5,FALSE)))</f>
        <v/>
      </c>
      <c r="F27" s="32" t="str">
        <f t="shared" si="2"/>
        <v/>
      </c>
    </row>
    <row r="28" spans="2:6" x14ac:dyDescent="0.25">
      <c r="B28" s="31"/>
      <c r="C28" s="32"/>
      <c r="D28" s="38"/>
      <c r="E28" s="32" t="str">
        <f>IF(C28="","",(VLOOKUP($B$21:$B$30,Supplies_list!$C$8:$G$64,5,FALSE)))</f>
        <v/>
      </c>
      <c r="F28" s="32" t="str">
        <f t="shared" si="2"/>
        <v/>
      </c>
    </row>
    <row r="29" spans="2:6" x14ac:dyDescent="0.25">
      <c r="B29" s="31"/>
      <c r="C29" s="32"/>
      <c r="D29" s="38"/>
      <c r="E29" s="32" t="str">
        <f>IF(C29="","",(VLOOKUP($B$21:$B$30,Supplies_list!$C$8:$G$64,5,FALSE)))</f>
        <v/>
      </c>
      <c r="F29" s="32" t="str">
        <f t="shared" si="2"/>
        <v/>
      </c>
    </row>
    <row r="30" spans="2:6" x14ac:dyDescent="0.25">
      <c r="B30" s="31"/>
      <c r="C30" s="32"/>
      <c r="D30" s="38"/>
      <c r="E30" s="32" t="str">
        <f>IF(C30="","",(VLOOKUP($B$21:$B$30,Supplies_list!$C$8:$G$64,5,FALSE)))</f>
        <v/>
      </c>
      <c r="F30" s="32" t="str">
        <f t="shared" si="2"/>
        <v/>
      </c>
    </row>
    <row r="31" spans="2:6" x14ac:dyDescent="0.25">
      <c r="B31" s="10" t="s">
        <v>8</v>
      </c>
      <c r="C31" s="11"/>
      <c r="D31" s="11"/>
      <c r="E31" s="11"/>
      <c r="F31" s="34">
        <f>SUM(F21:F30)</f>
        <v>0</v>
      </c>
    </row>
    <row r="35" spans="2:5" ht="15.75" x14ac:dyDescent="0.25">
      <c r="B35" s="247" t="s">
        <v>163</v>
      </c>
      <c r="C35" s="247"/>
      <c r="D35" s="247"/>
      <c r="E35" s="247"/>
    </row>
    <row r="36" spans="2:5" x14ac:dyDescent="0.25">
      <c r="B36" s="7" t="s">
        <v>0</v>
      </c>
      <c r="C36" s="7" t="s">
        <v>1</v>
      </c>
      <c r="D36" s="7" t="s">
        <v>159</v>
      </c>
      <c r="E36" s="7" t="s">
        <v>160</v>
      </c>
    </row>
    <row r="37" spans="2:5" x14ac:dyDescent="0.25">
      <c r="B37" s="31"/>
      <c r="C37" s="32"/>
      <c r="D37" s="32" t="str">
        <f>IF(B37="","",(VLOOKUP($B$37:$B$46,Lab_tests!$H$6:$I$47,2,FALSE)))</f>
        <v/>
      </c>
      <c r="E37" s="32" t="str">
        <f>IF(C37=0,"",(C37*D37))</f>
        <v/>
      </c>
    </row>
    <row r="38" spans="2:5" x14ac:dyDescent="0.25">
      <c r="B38" s="31"/>
      <c r="C38" s="32"/>
      <c r="D38" s="32" t="str">
        <f>IF(B38="","",(VLOOKUP($B$37:$B$46,Lab_tests!$H$6:$I$47,2,FALSE)))</f>
        <v/>
      </c>
      <c r="E38" s="32" t="str">
        <f t="shared" ref="E38:E46" si="3">IF(C38=0,"",(C38*D38))</f>
        <v/>
      </c>
    </row>
    <row r="39" spans="2:5" x14ac:dyDescent="0.25">
      <c r="B39" s="31"/>
      <c r="C39" s="32"/>
      <c r="D39" s="32" t="str">
        <f>IF(B39="","",(VLOOKUP($B$37:$B$46,Lab_tests!$H$6:$I$47,2,FALSE)))</f>
        <v/>
      </c>
      <c r="E39" s="32" t="str">
        <f t="shared" si="3"/>
        <v/>
      </c>
    </row>
    <row r="40" spans="2:5" x14ac:dyDescent="0.25">
      <c r="B40" s="31"/>
      <c r="C40" s="32"/>
      <c r="D40" s="32" t="str">
        <f>IF(B40="","",(VLOOKUP($B$37:$B$46,Lab_tests!$H$6:$I$47,2,FALSE)))</f>
        <v/>
      </c>
      <c r="E40" s="32" t="str">
        <f t="shared" si="3"/>
        <v/>
      </c>
    </row>
    <row r="41" spans="2:5" x14ac:dyDescent="0.25">
      <c r="B41" s="31"/>
      <c r="C41" s="32"/>
      <c r="D41" s="32" t="str">
        <f>IF(B41="","",(VLOOKUP($B$37:$B$46,Lab_tests!$H$6:$I$47,2,FALSE)))</f>
        <v/>
      </c>
      <c r="E41" s="32" t="str">
        <f t="shared" si="3"/>
        <v/>
      </c>
    </row>
    <row r="42" spans="2:5" x14ac:dyDescent="0.25">
      <c r="B42" s="31"/>
      <c r="C42" s="32"/>
      <c r="D42" s="32" t="str">
        <f>IF(B42="","",(VLOOKUP($B$37:$B$46,Lab_tests!$H$6:$I$47,2,FALSE)))</f>
        <v/>
      </c>
      <c r="E42" s="32" t="str">
        <f t="shared" si="3"/>
        <v/>
      </c>
    </row>
    <row r="43" spans="2:5" x14ac:dyDescent="0.25">
      <c r="B43" s="31"/>
      <c r="C43" s="32"/>
      <c r="D43" s="32" t="str">
        <f>IF(B43="","",(VLOOKUP($B$37:$B$46,Lab_tests!$H$6:$I$47,2,FALSE)))</f>
        <v/>
      </c>
      <c r="E43" s="32" t="str">
        <f t="shared" si="3"/>
        <v/>
      </c>
    </row>
    <row r="44" spans="2:5" x14ac:dyDescent="0.25">
      <c r="B44" s="31"/>
      <c r="C44" s="32"/>
      <c r="D44" s="32" t="str">
        <f>IF(B44="","",(VLOOKUP($B$37:$B$46,Lab_tests!$H$6:$I$47,2,FALSE)))</f>
        <v/>
      </c>
      <c r="E44" s="32" t="str">
        <f t="shared" si="3"/>
        <v/>
      </c>
    </row>
    <row r="45" spans="2:5" x14ac:dyDescent="0.25">
      <c r="B45" s="31"/>
      <c r="C45" s="32"/>
      <c r="D45" s="32" t="str">
        <f>IF(B45="","",(VLOOKUP($B$37:$B$46,Lab_tests!$H$6:$I$47,2,FALSE)))</f>
        <v/>
      </c>
      <c r="E45" s="32" t="str">
        <f t="shared" si="3"/>
        <v/>
      </c>
    </row>
    <row r="46" spans="2:5" x14ac:dyDescent="0.25">
      <c r="B46" s="31"/>
      <c r="C46" s="32"/>
      <c r="D46" s="32" t="str">
        <f>IF(B46="","",(VLOOKUP($B$37:$B$46,Lab_tests!$H$6:$I$47,2,FALSE)))</f>
        <v/>
      </c>
      <c r="E46" s="32" t="str">
        <f t="shared" si="3"/>
        <v/>
      </c>
    </row>
    <row r="47" spans="2:5" x14ac:dyDescent="0.25">
      <c r="B47" s="10" t="s">
        <v>8</v>
      </c>
      <c r="C47" s="11"/>
      <c r="D47" s="11"/>
      <c r="E47" s="34">
        <f>SUM(E37:E43)</f>
        <v>0</v>
      </c>
    </row>
  </sheetData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3:M122"/>
  <sheetViews>
    <sheetView showGridLines="0" topLeftCell="A45" zoomScale="115" zoomScaleNormal="115" workbookViewId="0">
      <selection activeCell="B73" sqref="B73"/>
    </sheetView>
  </sheetViews>
  <sheetFormatPr defaultRowHeight="15" x14ac:dyDescent="0.25"/>
  <cols>
    <col min="2" max="2" width="58.28515625" bestFit="1" customWidth="1"/>
    <col min="3" max="3" width="8.140625" bestFit="1" customWidth="1"/>
    <col min="4" max="4" width="11.28515625" bestFit="1" customWidth="1"/>
    <col min="5" max="5" width="10.42578125" hidden="1" customWidth="1"/>
    <col min="6" max="7" width="10.42578125" bestFit="1" customWidth="1"/>
    <col min="8" max="8" width="8.42578125" bestFit="1" customWidth="1"/>
    <col min="9" max="9" width="8.5703125" bestFit="1" customWidth="1"/>
    <col min="10" max="10" width="8.28515625" bestFit="1" customWidth="1"/>
    <col min="11" max="11" width="10.42578125" bestFit="1" customWidth="1"/>
    <col min="12" max="12" width="8.7109375" style="1" hidden="1" customWidth="1"/>
    <col min="13" max="13" width="10.42578125" style="1" bestFit="1" customWidth="1"/>
  </cols>
  <sheetData>
    <row r="3" spans="2:13" ht="15.75" customHeight="1" x14ac:dyDescent="0.25">
      <c r="B3" s="263" t="s">
        <v>23</v>
      </c>
      <c r="C3" s="262" t="s">
        <v>24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2:13" ht="30" x14ac:dyDescent="0.25">
      <c r="B4" s="263"/>
      <c r="C4" s="7" t="s">
        <v>136</v>
      </c>
      <c r="D4" s="7" t="s">
        <v>241</v>
      </c>
      <c r="E4" s="7" t="s">
        <v>138</v>
      </c>
      <c r="F4" s="7" t="s">
        <v>140</v>
      </c>
      <c r="G4" s="7" t="s">
        <v>141</v>
      </c>
      <c r="H4" s="8" t="s">
        <v>134</v>
      </c>
      <c r="I4" s="8" t="s">
        <v>142</v>
      </c>
      <c r="J4" s="7" t="s">
        <v>135</v>
      </c>
      <c r="K4" s="7" t="s">
        <v>143</v>
      </c>
      <c r="L4" s="9" t="s">
        <v>137</v>
      </c>
      <c r="M4" s="9" t="s">
        <v>139</v>
      </c>
    </row>
    <row r="5" spans="2:13" x14ac:dyDescent="0.25">
      <c r="B5" s="3" t="s">
        <v>25</v>
      </c>
      <c r="C5" s="23">
        <f>SUM(C6:C9)</f>
        <v>10</v>
      </c>
      <c r="D5" s="23">
        <f t="shared" ref="D5:M5" si="0">SUM(D6:D9)</f>
        <v>80</v>
      </c>
      <c r="E5" s="23">
        <f t="shared" si="0"/>
        <v>0</v>
      </c>
      <c r="F5" s="23">
        <f t="shared" si="0"/>
        <v>15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</row>
    <row r="6" spans="2:13" x14ac:dyDescent="0.25">
      <c r="B6" s="4" t="s">
        <v>26</v>
      </c>
      <c r="C6" s="17">
        <v>0</v>
      </c>
      <c r="D6" s="17">
        <v>20</v>
      </c>
      <c r="E6" s="17">
        <v>0</v>
      </c>
      <c r="F6" s="17">
        <v>15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</row>
    <row r="7" spans="2:13" x14ac:dyDescent="0.25">
      <c r="B7" s="4" t="s">
        <v>28</v>
      </c>
      <c r="C7" s="17">
        <v>0</v>
      </c>
      <c r="D7" s="17">
        <v>20</v>
      </c>
      <c r="E7" s="17">
        <v>0</v>
      </c>
      <c r="F7" s="25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</row>
    <row r="8" spans="2:13" x14ac:dyDescent="0.25">
      <c r="B8" s="4" t="s">
        <v>29</v>
      </c>
      <c r="C8" s="17">
        <v>10</v>
      </c>
      <c r="D8" s="17">
        <v>20</v>
      </c>
      <c r="E8" s="17">
        <v>0</v>
      </c>
      <c r="F8" s="25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2:13" x14ac:dyDescent="0.25">
      <c r="B9" s="4" t="s">
        <v>30</v>
      </c>
      <c r="C9" s="17">
        <v>0</v>
      </c>
      <c r="D9" s="17">
        <v>20</v>
      </c>
      <c r="E9" s="17">
        <v>0</v>
      </c>
      <c r="F9" s="25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</row>
    <row r="10" spans="2:13" x14ac:dyDescent="0.2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x14ac:dyDescent="0.25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x14ac:dyDescent="0.25">
      <c r="B12" s="5" t="s">
        <v>32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2:13" x14ac:dyDescent="0.25">
      <c r="B13" s="4" t="s">
        <v>33</v>
      </c>
      <c r="C13" s="15">
        <v>0</v>
      </c>
      <c r="D13" s="15">
        <v>120</v>
      </c>
      <c r="E13" s="15">
        <v>0</v>
      </c>
      <c r="F13" s="15">
        <v>0</v>
      </c>
      <c r="G13" s="15">
        <v>0</v>
      </c>
      <c r="H13" s="15">
        <v>0</v>
      </c>
      <c r="I13" s="15">
        <v>120</v>
      </c>
      <c r="J13" s="15">
        <v>0</v>
      </c>
      <c r="K13" s="15">
        <v>0</v>
      </c>
      <c r="L13" s="27">
        <v>0</v>
      </c>
      <c r="M13" s="27">
        <v>0</v>
      </c>
    </row>
    <row r="14" spans="2:13" x14ac:dyDescent="0.25">
      <c r="B14" s="4" t="s">
        <v>34</v>
      </c>
      <c r="C14" s="15">
        <v>15</v>
      </c>
      <c r="D14" s="15">
        <v>120</v>
      </c>
      <c r="E14" s="15">
        <v>0</v>
      </c>
      <c r="F14" s="15">
        <v>0</v>
      </c>
      <c r="G14" s="15">
        <v>0</v>
      </c>
      <c r="H14" s="15">
        <v>0</v>
      </c>
      <c r="I14" s="15">
        <v>120</v>
      </c>
      <c r="J14" s="15">
        <v>0</v>
      </c>
      <c r="K14" s="15">
        <v>0</v>
      </c>
      <c r="L14" s="27">
        <v>0</v>
      </c>
      <c r="M14" s="27">
        <v>0</v>
      </c>
    </row>
    <row r="15" spans="2:13" x14ac:dyDescent="0.25">
      <c r="B15" s="5" t="s">
        <v>249</v>
      </c>
      <c r="C15" s="26">
        <f>SUM(C16:C17)</f>
        <v>10</v>
      </c>
      <c r="D15" s="26">
        <f t="shared" ref="D15:M15" si="1">SUM(D16:D17)</f>
        <v>45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  <c r="M15" s="26">
        <f t="shared" si="1"/>
        <v>0</v>
      </c>
    </row>
    <row r="16" spans="2:13" x14ac:dyDescent="0.25">
      <c r="B16" s="4" t="s">
        <v>26</v>
      </c>
      <c r="C16" s="15">
        <v>10</v>
      </c>
      <c r="D16" s="15">
        <v>20</v>
      </c>
      <c r="E16" s="15"/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2:13" x14ac:dyDescent="0.25">
      <c r="B17" s="4" t="s">
        <v>28</v>
      </c>
      <c r="C17" s="27">
        <v>0</v>
      </c>
      <c r="D17" s="15">
        <v>25</v>
      </c>
      <c r="E17" s="15"/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2:13" hidden="1" x14ac:dyDescent="0.25">
      <c r="B18" s="4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5"/>
    </row>
    <row r="19" spans="2:13" hidden="1" x14ac:dyDescent="0.25">
      <c r="B19" s="4" t="s">
        <v>255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/>
      <c r="M19" s="15"/>
    </row>
    <row r="20" spans="2:13" x14ac:dyDescent="0.25">
      <c r="B20" s="5" t="s">
        <v>37</v>
      </c>
      <c r="C20" s="26">
        <f>SUM(C22:C23)</f>
        <v>5</v>
      </c>
      <c r="D20" s="26">
        <f t="shared" ref="D20:M20" si="2">SUM(D22:D23)</f>
        <v>30</v>
      </c>
      <c r="E20" s="26">
        <f t="shared" si="2"/>
        <v>0</v>
      </c>
      <c r="F20" s="26">
        <f t="shared" si="2"/>
        <v>0</v>
      </c>
      <c r="G20" s="26">
        <f t="shared" si="2"/>
        <v>0</v>
      </c>
      <c r="H20" s="26">
        <f t="shared" si="2"/>
        <v>0</v>
      </c>
      <c r="I20" s="26">
        <f t="shared" si="2"/>
        <v>0</v>
      </c>
      <c r="J20" s="26">
        <f t="shared" si="2"/>
        <v>0</v>
      </c>
      <c r="K20" s="26">
        <f t="shared" si="2"/>
        <v>0</v>
      </c>
      <c r="L20" s="26">
        <f t="shared" si="2"/>
        <v>0</v>
      </c>
      <c r="M20" s="26">
        <f t="shared" si="2"/>
        <v>0</v>
      </c>
    </row>
    <row r="21" spans="2:13" hidden="1" x14ac:dyDescent="0.25">
      <c r="B21" s="4" t="s">
        <v>38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/>
      <c r="M21" s="16"/>
    </row>
    <row r="22" spans="2:13" x14ac:dyDescent="0.25">
      <c r="B22" s="4" t="s">
        <v>39</v>
      </c>
      <c r="C22" s="16">
        <v>5</v>
      </c>
      <c r="D22" s="16">
        <v>15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2:13" ht="60" x14ac:dyDescent="0.25">
      <c r="B23" s="6" t="s">
        <v>256</v>
      </c>
      <c r="C23" s="16">
        <v>0</v>
      </c>
      <c r="D23" s="16">
        <v>15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2:13" x14ac:dyDescent="0.25">
      <c r="B24" s="5" t="s">
        <v>40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2:13" x14ac:dyDescent="0.25">
      <c r="B25" s="4" t="s">
        <v>41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>
        <v>0</v>
      </c>
    </row>
    <row r="26" spans="2:13" x14ac:dyDescent="0.25">
      <c r="B26" s="24" t="s">
        <v>42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2:13" x14ac:dyDescent="0.25">
      <c r="B27" s="4" t="s">
        <v>43</v>
      </c>
      <c r="C27" s="15">
        <v>0</v>
      </c>
      <c r="D27" s="15">
        <f>10+5</f>
        <v>15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/>
      <c r="M27" s="15"/>
    </row>
    <row r="28" spans="2:13" x14ac:dyDescent="0.25">
      <c r="B28" s="4" t="s">
        <v>44</v>
      </c>
      <c r="C28" s="15">
        <f>15+5</f>
        <v>20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/>
      <c r="M28" s="15"/>
    </row>
    <row r="29" spans="2:13" hidden="1" x14ac:dyDescent="0.25">
      <c r="B29" s="4" t="s">
        <v>45</v>
      </c>
      <c r="C29" s="15">
        <v>35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/>
      <c r="M29" s="15"/>
    </row>
    <row r="30" spans="2:13" hidden="1" x14ac:dyDescent="0.25">
      <c r="B30" s="4" t="s">
        <v>46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/>
      <c r="M30" s="15"/>
    </row>
    <row r="31" spans="2:13" x14ac:dyDescent="0.25">
      <c r="B31" s="4" t="s">
        <v>47</v>
      </c>
      <c r="C31" s="15">
        <f>15+5</f>
        <v>20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/>
      <c r="M31" s="15"/>
    </row>
    <row r="32" spans="2:13" x14ac:dyDescent="0.25">
      <c r="B32" s="4" t="s">
        <v>48</v>
      </c>
      <c r="C32" s="15">
        <f>15+5</f>
        <v>20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/>
      <c r="M32" s="15"/>
    </row>
    <row r="33" spans="2:13" hidden="1" x14ac:dyDescent="0.25">
      <c r="B33" s="4" t="s">
        <v>49</v>
      </c>
      <c r="C33" s="15">
        <v>10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/>
      <c r="M33" s="15"/>
    </row>
    <row r="34" spans="2:13" x14ac:dyDescent="0.25">
      <c r="B34" s="24" t="s">
        <v>50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/>
    </row>
    <row r="35" spans="2:13" x14ac:dyDescent="0.25">
      <c r="B35" s="30" t="s">
        <v>265</v>
      </c>
      <c r="C35" s="15">
        <v>0</v>
      </c>
      <c r="D35" s="15">
        <v>15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/>
    </row>
    <row r="36" spans="2:13" x14ac:dyDescent="0.25">
      <c r="B36" s="30" t="s">
        <v>264</v>
      </c>
      <c r="C36" s="15">
        <v>0</v>
      </c>
      <c r="D36" s="15">
        <v>15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/>
      <c r="M36" s="15"/>
    </row>
    <row r="37" spans="2:13" hidden="1" x14ac:dyDescent="0.25">
      <c r="B37" s="4" t="s">
        <v>51</v>
      </c>
      <c r="C37" s="15">
        <v>20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/>
      <c r="M37" s="15"/>
    </row>
    <row r="38" spans="2:13" x14ac:dyDescent="0.25">
      <c r="B38" s="4" t="s">
        <v>52</v>
      </c>
      <c r="C38" s="15">
        <v>15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/>
      <c r="M38" s="15"/>
    </row>
    <row r="39" spans="2:13" hidden="1" x14ac:dyDescent="0.25">
      <c r="B39" s="4" t="s">
        <v>53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/>
      <c r="M39" s="15"/>
    </row>
    <row r="40" spans="2:13" x14ac:dyDescent="0.25">
      <c r="B40" s="4" t="s">
        <v>54</v>
      </c>
      <c r="C40" s="15">
        <v>15</v>
      </c>
      <c r="D40" s="15">
        <v>0</v>
      </c>
      <c r="E40" s="15">
        <v>0</v>
      </c>
      <c r="F40" s="15">
        <v>10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/>
      <c r="M40" s="15"/>
    </row>
    <row r="41" spans="2:13" hidden="1" x14ac:dyDescent="0.25">
      <c r="B41" s="4" t="s">
        <v>55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/>
      <c r="M41" s="15"/>
    </row>
    <row r="42" spans="2:13" x14ac:dyDescent="0.25">
      <c r="B42" s="4" t="s">
        <v>56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/>
      <c r="M42" s="15"/>
    </row>
    <row r="43" spans="2:13" x14ac:dyDescent="0.25">
      <c r="B43" s="5" t="s">
        <v>57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2:13" x14ac:dyDescent="0.25">
      <c r="B44" s="4" t="s">
        <v>58</v>
      </c>
      <c r="C44" s="15">
        <v>0</v>
      </c>
      <c r="D44" s="15">
        <v>15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/>
      <c r="M44" s="15"/>
    </row>
    <row r="45" spans="2:13" x14ac:dyDescent="0.25">
      <c r="B45" s="5" t="s">
        <v>59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2:13" hidden="1" x14ac:dyDescent="0.25">
      <c r="B46" s="4" t="s">
        <v>60</v>
      </c>
      <c r="C46" s="15">
        <v>0</v>
      </c>
      <c r="D46" s="15">
        <v>15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/>
      <c r="M46" s="15"/>
    </row>
    <row r="47" spans="2:13" hidden="1" x14ac:dyDescent="0.25">
      <c r="B47" s="30" t="s">
        <v>61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/>
      <c r="M47" s="15"/>
    </row>
    <row r="48" spans="2:13" x14ac:dyDescent="0.25">
      <c r="B48" s="4" t="s">
        <v>62</v>
      </c>
      <c r="C48" s="15">
        <v>0</v>
      </c>
      <c r="D48" s="15">
        <v>30</v>
      </c>
      <c r="E48" s="15">
        <v>0</v>
      </c>
      <c r="F48" s="15">
        <v>10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/>
      <c r="M48" s="15"/>
    </row>
    <row r="49" spans="2:13" x14ac:dyDescent="0.25">
      <c r="B49" s="4" t="s">
        <v>63</v>
      </c>
      <c r="C49" s="15">
        <v>0</v>
      </c>
      <c r="D49" s="15">
        <v>35</v>
      </c>
      <c r="E49" s="15">
        <v>0</v>
      </c>
      <c r="F49" s="15">
        <v>10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/>
      <c r="M49" s="15"/>
    </row>
    <row r="50" spans="2:13" x14ac:dyDescent="0.25">
      <c r="B50" s="4" t="s">
        <v>64</v>
      </c>
      <c r="C50" s="15">
        <v>0</v>
      </c>
      <c r="D50" s="15">
        <v>30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/>
      <c r="M50" s="15"/>
    </row>
    <row r="51" spans="2:13" hidden="1" x14ac:dyDescent="0.25">
      <c r="B51" s="5" t="s">
        <v>65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2:13" hidden="1" x14ac:dyDescent="0.25">
      <c r="B52" s="4" t="s">
        <v>66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/>
      <c r="M52" s="15"/>
    </row>
    <row r="53" spans="2:13" hidden="1" x14ac:dyDescent="0.25">
      <c r="B53" s="4" t="s">
        <v>67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/>
      <c r="M53" s="15"/>
    </row>
    <row r="54" spans="2:13" hidden="1" x14ac:dyDescent="0.25">
      <c r="B54" s="4" t="s">
        <v>68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/>
      <c r="M54" s="15"/>
    </row>
    <row r="55" spans="2:13" hidden="1" x14ac:dyDescent="0.25">
      <c r="B55" s="5" t="s">
        <v>69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2:13" hidden="1" x14ac:dyDescent="0.25">
      <c r="B56" s="4" t="s">
        <v>70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/>
      <c r="M56" s="15"/>
    </row>
    <row r="57" spans="2:13" hidden="1" x14ac:dyDescent="0.25">
      <c r="B57" s="4" t="s">
        <v>71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/>
      <c r="M57" s="15"/>
    </row>
    <row r="58" spans="2:13" hidden="1" x14ac:dyDescent="0.25">
      <c r="B58" s="4" t="s">
        <v>72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/>
      <c r="M58" s="15"/>
    </row>
    <row r="59" spans="2:13" hidden="1" x14ac:dyDescent="0.25">
      <c r="B59" s="4" t="s">
        <v>73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/>
      <c r="M59" s="15"/>
    </row>
    <row r="60" spans="2:13" hidden="1" x14ac:dyDescent="0.25">
      <c r="B60" s="4" t="s">
        <v>74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/>
      <c r="M60" s="15"/>
    </row>
    <row r="61" spans="2:13" hidden="1" x14ac:dyDescent="0.25">
      <c r="B61" s="4" t="s">
        <v>75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/>
      <c r="M61" s="15"/>
    </row>
    <row r="62" spans="2:13" hidden="1" x14ac:dyDescent="0.25">
      <c r="B62" s="4" t="s">
        <v>76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/>
      <c r="M62" s="15"/>
    </row>
    <row r="63" spans="2:13" x14ac:dyDescent="0.25">
      <c r="B63" s="5" t="s">
        <v>77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2:13" x14ac:dyDescent="0.25">
      <c r="B64" s="4" t="s">
        <v>78</v>
      </c>
      <c r="C64" s="15">
        <v>10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/>
      <c r="M64" s="15"/>
    </row>
    <row r="65" spans="2:13" x14ac:dyDescent="0.25">
      <c r="B65" s="4" t="s">
        <v>79</v>
      </c>
      <c r="C65" s="15">
        <v>10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/>
      <c r="M65" s="15"/>
    </row>
    <row r="66" spans="2:13" x14ac:dyDescent="0.25">
      <c r="B66" s="4" t="s">
        <v>80</v>
      </c>
      <c r="C66" s="15">
        <v>20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/>
      <c r="M66" s="15"/>
    </row>
    <row r="67" spans="2:13" x14ac:dyDescent="0.25">
      <c r="B67" s="4" t="s">
        <v>81</v>
      </c>
      <c r="C67" s="15">
        <v>20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/>
      <c r="M67" s="15"/>
    </row>
    <row r="68" spans="2:13" x14ac:dyDescent="0.25">
      <c r="B68" s="4" t="s">
        <v>82</v>
      </c>
      <c r="C68" s="15">
        <v>15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/>
      <c r="M68" s="15"/>
    </row>
    <row r="69" spans="2:13" x14ac:dyDescent="0.25">
      <c r="B69" s="4" t="s">
        <v>83</v>
      </c>
      <c r="C69" s="15">
        <v>15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/>
      <c r="M69" s="15"/>
    </row>
    <row r="70" spans="2:13" x14ac:dyDescent="0.25">
      <c r="B70" s="4" t="s">
        <v>52</v>
      </c>
      <c r="C70" s="15">
        <v>15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/>
      <c r="M70" s="15"/>
    </row>
    <row r="71" spans="2:13" x14ac:dyDescent="0.25">
      <c r="B71" s="4" t="s">
        <v>84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/>
      <c r="M71" s="15"/>
    </row>
    <row r="72" spans="2:13" x14ac:dyDescent="0.25">
      <c r="B72" s="4" t="s">
        <v>85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/>
      <c r="M72" s="15"/>
    </row>
    <row r="73" spans="2:13" x14ac:dyDescent="0.25">
      <c r="B73" s="4" t="s">
        <v>257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/>
      <c r="M73" s="15"/>
    </row>
    <row r="74" spans="2:13" x14ac:dyDescent="0.25">
      <c r="B74" s="4" t="s">
        <v>258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/>
      <c r="M74" s="15"/>
    </row>
    <row r="75" spans="2:13" x14ac:dyDescent="0.25">
      <c r="B75" s="4" t="s">
        <v>86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/>
      <c r="M75" s="15"/>
    </row>
    <row r="76" spans="2:13" x14ac:dyDescent="0.25">
      <c r="B76" s="4" t="s">
        <v>87</v>
      </c>
      <c r="C76" s="15">
        <v>10</v>
      </c>
      <c r="D76" s="15">
        <v>0</v>
      </c>
      <c r="E76" s="15">
        <v>0</v>
      </c>
      <c r="F76" s="15">
        <v>10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/>
      <c r="M76" s="15"/>
    </row>
    <row r="77" spans="2:13" x14ac:dyDescent="0.25">
      <c r="B77" s="4" t="s">
        <v>88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/>
      <c r="M77" s="15"/>
    </row>
    <row r="78" spans="2:13" x14ac:dyDescent="0.25">
      <c r="B78" s="4" t="s">
        <v>89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/>
      <c r="M78" s="15"/>
    </row>
    <row r="79" spans="2:13" x14ac:dyDescent="0.25">
      <c r="B79" s="4" t="s">
        <v>90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/>
      <c r="M79" s="15"/>
    </row>
    <row r="80" spans="2:13" x14ac:dyDescent="0.25">
      <c r="B80" s="4" t="s">
        <v>91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/>
      <c r="M80" s="15"/>
    </row>
    <row r="81" spans="2:13" x14ac:dyDescent="0.25">
      <c r="B81" s="4" t="s">
        <v>92</v>
      </c>
      <c r="C81" s="15">
        <v>10</v>
      </c>
      <c r="D81" s="15">
        <v>20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/>
      <c r="M81" s="15"/>
    </row>
    <row r="82" spans="2:13" x14ac:dyDescent="0.25">
      <c r="B82" s="4" t="s">
        <v>93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/>
      <c r="M82" s="15"/>
    </row>
    <row r="83" spans="2:13" x14ac:dyDescent="0.25">
      <c r="B83" s="4" t="s">
        <v>94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/>
      <c r="M83" s="15"/>
    </row>
    <row r="84" spans="2:13" x14ac:dyDescent="0.25">
      <c r="B84" s="30" t="s">
        <v>95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/>
      <c r="M84" s="15"/>
    </row>
    <row r="85" spans="2:13" x14ac:dyDescent="0.25">
      <c r="B85" s="4" t="s">
        <v>96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/>
      <c r="M85" s="15"/>
    </row>
    <row r="86" spans="2:13" x14ac:dyDescent="0.25">
      <c r="B86" s="4" t="s">
        <v>97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/>
      <c r="M86" s="15"/>
    </row>
    <row r="87" spans="2:13" x14ac:dyDescent="0.25">
      <c r="B87" s="5" t="s">
        <v>98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x14ac:dyDescent="0.25">
      <c r="B88" s="4" t="s">
        <v>99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/>
      <c r="M88" s="15"/>
    </row>
    <row r="89" spans="2:13" x14ac:dyDescent="0.25">
      <c r="B89" s="4" t="s">
        <v>100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/>
      <c r="M89" s="15"/>
    </row>
    <row r="90" spans="2:13" x14ac:dyDescent="0.25">
      <c r="B90" s="4" t="s">
        <v>101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/>
      <c r="M90" s="15"/>
    </row>
    <row r="91" spans="2:13" x14ac:dyDescent="0.25">
      <c r="B91" s="4" t="s">
        <v>102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/>
      <c r="M91" s="15"/>
    </row>
    <row r="92" spans="2:13" x14ac:dyDescent="0.25">
      <c r="B92" s="4" t="s">
        <v>103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/>
      <c r="M92" s="15"/>
    </row>
    <row r="93" spans="2:13" x14ac:dyDescent="0.25">
      <c r="B93" s="4" t="s">
        <v>104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/>
      <c r="M93" s="15"/>
    </row>
    <row r="94" spans="2:13" x14ac:dyDescent="0.25">
      <c r="B94" s="4" t="s">
        <v>105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/>
      <c r="M94" s="15"/>
    </row>
    <row r="95" spans="2:13" x14ac:dyDescent="0.25">
      <c r="B95" s="4" t="s">
        <v>106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/>
      <c r="M95" s="15"/>
    </row>
    <row r="96" spans="2:13" x14ac:dyDescent="0.25">
      <c r="B96" s="4" t="s">
        <v>107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/>
      <c r="M96" s="15"/>
    </row>
    <row r="97" spans="2:13" x14ac:dyDescent="0.25">
      <c r="B97" s="4" t="s">
        <v>108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/>
      <c r="M97" s="15"/>
    </row>
    <row r="98" spans="2:13" x14ac:dyDescent="0.25">
      <c r="B98" s="5" t="s">
        <v>109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x14ac:dyDescent="0.25">
      <c r="B99" s="4" t="s">
        <v>110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/>
      <c r="M99" s="15"/>
    </row>
    <row r="100" spans="2:13" x14ac:dyDescent="0.25">
      <c r="B100" s="4" t="s">
        <v>111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/>
      <c r="M100" s="15"/>
    </row>
    <row r="101" spans="2:13" x14ac:dyDescent="0.25">
      <c r="B101" s="4" t="s">
        <v>112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/>
      <c r="M101" s="15"/>
    </row>
    <row r="102" spans="2:13" x14ac:dyDescent="0.25">
      <c r="B102" s="4" t="s">
        <v>113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/>
      <c r="M102" s="15"/>
    </row>
    <row r="103" spans="2:13" x14ac:dyDescent="0.25">
      <c r="B103" s="4" t="s">
        <v>114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/>
      <c r="M103" s="15"/>
    </row>
    <row r="104" spans="2:13" x14ac:dyDescent="0.25">
      <c r="B104" s="4" t="s">
        <v>115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/>
      <c r="M104" s="15"/>
    </row>
    <row r="105" spans="2:13" x14ac:dyDescent="0.25">
      <c r="B105" s="4" t="s">
        <v>116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/>
      <c r="M105" s="15"/>
    </row>
    <row r="106" spans="2:13" x14ac:dyDescent="0.25">
      <c r="B106" s="4" t="s">
        <v>117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/>
      <c r="M106" s="15"/>
    </row>
    <row r="107" spans="2:13" x14ac:dyDescent="0.25">
      <c r="B107" s="5" t="s">
        <v>118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x14ac:dyDescent="0.25">
      <c r="B108" s="4" t="s">
        <v>119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/>
      <c r="M108" s="15"/>
    </row>
    <row r="109" spans="2:13" x14ac:dyDescent="0.25">
      <c r="B109" s="4" t="s">
        <v>120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/>
      <c r="M109" s="15"/>
    </row>
    <row r="110" spans="2:13" x14ac:dyDescent="0.25">
      <c r="B110" s="4" t="s">
        <v>259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/>
      <c r="M110" s="15"/>
    </row>
    <row r="111" spans="2:13" x14ac:dyDescent="0.25">
      <c r="B111" s="4" t="s">
        <v>121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/>
      <c r="M111" s="15"/>
    </row>
    <row r="112" spans="2:13" x14ac:dyDescent="0.25">
      <c r="B112" s="4" t="s">
        <v>122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/>
      <c r="M112" s="15"/>
    </row>
    <row r="113" spans="2:13" x14ac:dyDescent="0.25">
      <c r="B113" s="4" t="s">
        <v>123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/>
      <c r="M113" s="15"/>
    </row>
    <row r="114" spans="2:13" x14ac:dyDescent="0.25">
      <c r="B114" s="4" t="s">
        <v>124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/>
      <c r="M114" s="15"/>
    </row>
    <row r="115" spans="2:13" x14ac:dyDescent="0.25">
      <c r="B115" s="4" t="s">
        <v>125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/>
      <c r="M115" s="15"/>
    </row>
    <row r="116" spans="2:13" x14ac:dyDescent="0.25">
      <c r="B116" s="4" t="s">
        <v>126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/>
      <c r="M116" s="15"/>
    </row>
    <row r="117" spans="2:13" x14ac:dyDescent="0.25">
      <c r="B117" s="4" t="s">
        <v>127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/>
      <c r="M117" s="15"/>
    </row>
    <row r="118" spans="2:13" x14ac:dyDescent="0.25">
      <c r="B118" s="5" t="s">
        <v>128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x14ac:dyDescent="0.25">
      <c r="B119" s="30" t="s">
        <v>129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/>
      <c r="M119" s="15"/>
    </row>
    <row r="120" spans="2:13" x14ac:dyDescent="0.25">
      <c r="B120" s="4" t="s">
        <v>130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/>
      <c r="M120" s="15"/>
    </row>
    <row r="121" spans="2:13" x14ac:dyDescent="0.25">
      <c r="B121" s="4" t="s">
        <v>131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/>
      <c r="M121" s="15"/>
    </row>
    <row r="122" spans="2:13" x14ac:dyDescent="0.25">
      <c r="B122" s="4" t="s">
        <v>132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/>
      <c r="M122" s="15"/>
    </row>
  </sheetData>
  <mergeCells count="2">
    <mergeCell ref="C3:M3"/>
    <mergeCell ref="B3:B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3:N67"/>
  <sheetViews>
    <sheetView showGridLines="0" topLeftCell="B1" zoomScaleNormal="100" workbookViewId="0">
      <selection activeCell="B1" sqref="B1"/>
    </sheetView>
  </sheetViews>
  <sheetFormatPr defaultRowHeight="15" x14ac:dyDescent="0.25"/>
  <cols>
    <col min="1" max="1" width="22.85546875" style="19" hidden="1" customWidth="1"/>
    <col min="2" max="2" width="3.42578125" style="19" customWidth="1"/>
    <col min="3" max="3" width="36.5703125" style="19" bestFit="1" customWidth="1"/>
    <col min="4" max="4" width="8.140625" style="19" bestFit="1" customWidth="1"/>
    <col min="5" max="5" width="11.28515625" style="19" bestFit="1" customWidth="1"/>
    <col min="6" max="6" width="10.42578125" style="19" customWidth="1"/>
    <col min="7" max="8" width="10.42578125" style="19" bestFit="1" customWidth="1"/>
    <col min="9" max="9" width="8.42578125" style="19" customWidth="1"/>
    <col min="10" max="10" width="8.5703125" style="19" bestFit="1" customWidth="1"/>
    <col min="11" max="11" width="8.28515625" style="19" customWidth="1"/>
    <col min="12" max="12" width="10.42578125" style="19" customWidth="1"/>
    <col min="13" max="13" width="8.7109375" style="19" customWidth="1"/>
    <col min="14" max="14" width="10.42578125" style="19" bestFit="1" customWidth="1"/>
    <col min="15" max="16384" width="9.140625" style="19"/>
  </cols>
  <sheetData>
    <row r="3" spans="1:14" x14ac:dyDescent="0.25">
      <c r="C3" s="264" t="s">
        <v>298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5"/>
    </row>
    <row r="4" spans="1:14" ht="30" x14ac:dyDescent="0.25">
      <c r="C4" s="37" t="s">
        <v>23</v>
      </c>
      <c r="D4" s="7" t="s">
        <v>136</v>
      </c>
      <c r="E4" s="7" t="s">
        <v>241</v>
      </c>
      <c r="F4" s="7" t="s">
        <v>138</v>
      </c>
      <c r="G4" s="7" t="s">
        <v>140</v>
      </c>
      <c r="H4" s="7" t="s">
        <v>141</v>
      </c>
      <c r="I4" s="7" t="s">
        <v>134</v>
      </c>
      <c r="J4" s="7" t="s">
        <v>142</v>
      </c>
      <c r="K4" s="7" t="s">
        <v>135</v>
      </c>
      <c r="L4" s="7" t="s">
        <v>143</v>
      </c>
      <c r="M4" s="7" t="s">
        <v>137</v>
      </c>
      <c r="N4" s="7" t="s">
        <v>139</v>
      </c>
    </row>
    <row r="5" spans="1:14" x14ac:dyDescent="0.25">
      <c r="C5" s="32" t="s">
        <v>247</v>
      </c>
      <c r="D5" s="32">
        <v>10</v>
      </c>
      <c r="E5" s="32">
        <v>80</v>
      </c>
      <c r="F5" s="32">
        <v>10</v>
      </c>
      <c r="G5" s="32">
        <v>15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</row>
    <row r="6" spans="1:14" x14ac:dyDescent="0.25">
      <c r="C6" s="32" t="s">
        <v>251</v>
      </c>
      <c r="D6" s="32">
        <v>0</v>
      </c>
      <c r="E6" s="32">
        <v>120</v>
      </c>
      <c r="F6" s="32">
        <v>5</v>
      </c>
      <c r="G6" s="32">
        <v>0</v>
      </c>
      <c r="H6" s="32">
        <v>0</v>
      </c>
      <c r="I6" s="32">
        <v>0</v>
      </c>
      <c r="J6" s="32">
        <v>120</v>
      </c>
      <c r="K6" s="32">
        <v>0</v>
      </c>
      <c r="L6" s="32">
        <v>0</v>
      </c>
      <c r="M6" s="32">
        <v>0</v>
      </c>
      <c r="N6" s="32">
        <v>0</v>
      </c>
    </row>
    <row r="7" spans="1:14" x14ac:dyDescent="0.25">
      <c r="C7" s="32" t="s">
        <v>252</v>
      </c>
      <c r="D7" s="32">
        <v>15</v>
      </c>
      <c r="E7" s="32">
        <v>120</v>
      </c>
      <c r="F7" s="32">
        <v>5</v>
      </c>
      <c r="G7" s="32">
        <v>0</v>
      </c>
      <c r="H7" s="32">
        <v>0</v>
      </c>
      <c r="I7" s="32">
        <v>0</v>
      </c>
      <c r="J7" s="32">
        <v>120</v>
      </c>
      <c r="K7" s="32">
        <v>0</v>
      </c>
      <c r="L7" s="32">
        <v>0</v>
      </c>
      <c r="M7" s="32">
        <v>0</v>
      </c>
      <c r="N7" s="32">
        <v>0</v>
      </c>
    </row>
    <row r="8" spans="1:14" x14ac:dyDescent="0.25">
      <c r="C8" s="32" t="s">
        <v>248</v>
      </c>
      <c r="D8" s="32">
        <v>10</v>
      </c>
      <c r="E8" s="32">
        <v>45</v>
      </c>
      <c r="F8" s="32">
        <v>5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</row>
    <row r="9" spans="1:14" x14ac:dyDescent="0.25">
      <c r="C9" s="32" t="s">
        <v>250</v>
      </c>
      <c r="D9" s="32">
        <v>5</v>
      </c>
      <c r="E9" s="32">
        <v>30</v>
      </c>
      <c r="F9" s="32">
        <v>5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</row>
    <row r="10" spans="1:14" x14ac:dyDescent="0.2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19" t="s">
        <v>254</v>
      </c>
      <c r="C11" s="32" t="s">
        <v>253</v>
      </c>
      <c r="D11" s="32">
        <v>0</v>
      </c>
      <c r="E11" s="32">
        <v>15</v>
      </c>
      <c r="F11" s="32">
        <v>5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</row>
    <row r="12" spans="1:14" x14ac:dyDescent="0.25">
      <c r="C12" s="32" t="s">
        <v>260</v>
      </c>
      <c r="D12" s="32">
        <v>20</v>
      </c>
      <c r="E12" s="32">
        <v>0</v>
      </c>
      <c r="F12" s="32">
        <v>5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</row>
    <row r="13" spans="1:14" x14ac:dyDescent="0.25">
      <c r="C13" s="32" t="s">
        <v>261</v>
      </c>
      <c r="D13" s="32">
        <v>20</v>
      </c>
      <c r="E13" s="32">
        <v>0</v>
      </c>
      <c r="F13" s="32">
        <v>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</row>
    <row r="14" spans="1:14" x14ac:dyDescent="0.25">
      <c r="C14" s="32" t="s">
        <v>262</v>
      </c>
      <c r="D14" s="32">
        <v>20</v>
      </c>
      <c r="E14" s="32">
        <v>0</v>
      </c>
      <c r="F14" s="32">
        <v>5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</row>
    <row r="15" spans="1:14" x14ac:dyDescent="0.2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19" t="s">
        <v>263</v>
      </c>
      <c r="C16" s="32" t="s">
        <v>266</v>
      </c>
      <c r="D16" s="32">
        <v>0</v>
      </c>
      <c r="E16" s="32">
        <v>15</v>
      </c>
      <c r="F16" s="32">
        <v>5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</row>
    <row r="17" spans="1:14" x14ac:dyDescent="0.25">
      <c r="C17" s="32" t="s">
        <v>267</v>
      </c>
      <c r="D17" s="32">
        <v>0</v>
      </c>
      <c r="E17" s="32">
        <v>15</v>
      </c>
      <c r="F17" s="32">
        <v>5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</row>
    <row r="18" spans="1:14" x14ac:dyDescent="0.25">
      <c r="C18" s="32" t="s">
        <v>52</v>
      </c>
      <c r="D18" s="32">
        <v>15</v>
      </c>
      <c r="E18" s="32">
        <v>0</v>
      </c>
      <c r="F18" s="32">
        <v>5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</row>
    <row r="19" spans="1:14" x14ac:dyDescent="0.2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C20" s="32" t="s">
        <v>268</v>
      </c>
      <c r="D20" s="32">
        <v>15</v>
      </c>
      <c r="E20" s="32">
        <v>0</v>
      </c>
      <c r="F20" s="32">
        <v>5</v>
      </c>
      <c r="G20" s="32">
        <v>10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</row>
    <row r="21" spans="1:14" x14ac:dyDescent="0.2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19" t="s">
        <v>59</v>
      </c>
      <c r="C22" s="32" t="s">
        <v>275</v>
      </c>
      <c r="D22" s="32">
        <v>0</v>
      </c>
      <c r="E22" s="32">
        <v>30</v>
      </c>
      <c r="F22" s="32">
        <v>5</v>
      </c>
      <c r="G22" s="32">
        <v>10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</row>
    <row r="23" spans="1:14" x14ac:dyDescent="0.25">
      <c r="C23" s="32" t="s">
        <v>274</v>
      </c>
      <c r="D23" s="32">
        <v>0</v>
      </c>
      <c r="E23" s="32">
        <v>5</v>
      </c>
      <c r="F23" s="32">
        <v>5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/>
      <c r="N23" s="32">
        <v>0</v>
      </c>
    </row>
    <row r="24" spans="1:14" x14ac:dyDescent="0.25">
      <c r="C24" s="32" t="s">
        <v>273</v>
      </c>
      <c r="D24" s="32">
        <v>0</v>
      </c>
      <c r="E24" s="32">
        <v>35</v>
      </c>
      <c r="F24" s="32">
        <v>5</v>
      </c>
      <c r="G24" s="32">
        <v>10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</row>
    <row r="25" spans="1:14" x14ac:dyDescent="0.25">
      <c r="C25" s="32" t="s">
        <v>272</v>
      </c>
      <c r="D25" s="32">
        <v>0</v>
      </c>
      <c r="E25" s="32">
        <v>8</v>
      </c>
      <c r="F25" s="32">
        <v>5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5</v>
      </c>
      <c r="N25" s="32">
        <v>0</v>
      </c>
    </row>
    <row r="26" spans="1:14" x14ac:dyDescent="0.25">
      <c r="C26" s="32" t="s">
        <v>271</v>
      </c>
      <c r="D26" s="32">
        <v>0</v>
      </c>
      <c r="E26" s="32">
        <v>30</v>
      </c>
      <c r="F26" s="32">
        <v>5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</row>
    <row r="27" spans="1:14" x14ac:dyDescent="0.25">
      <c r="C27" s="32" t="s">
        <v>270</v>
      </c>
      <c r="D27" s="32">
        <v>0</v>
      </c>
      <c r="E27" s="32">
        <v>5</v>
      </c>
      <c r="F27" s="32">
        <v>5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</row>
    <row r="28" spans="1:14" x14ac:dyDescent="0.25">
      <c r="C28" s="32" t="s">
        <v>269</v>
      </c>
      <c r="D28" s="32">
        <v>0</v>
      </c>
      <c r="E28" s="32">
        <v>20</v>
      </c>
      <c r="F28" s="32">
        <v>5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/>
      <c r="N28" s="32">
        <v>0</v>
      </c>
    </row>
    <row r="29" spans="1:14" x14ac:dyDescent="0.25">
      <c r="C29" s="32" t="s">
        <v>276</v>
      </c>
      <c r="D29" s="32">
        <v>0</v>
      </c>
      <c r="E29" s="32">
        <v>2</v>
      </c>
      <c r="F29" s="32">
        <v>5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/>
      <c r="N29" s="32">
        <v>0</v>
      </c>
    </row>
    <row r="30" spans="1:14" x14ac:dyDescent="0.2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19" t="s">
        <v>277</v>
      </c>
      <c r="C31" s="32" t="s">
        <v>278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/>
      <c r="N31" s="32">
        <v>2</v>
      </c>
    </row>
    <row r="32" spans="1:14" x14ac:dyDescent="0.25">
      <c r="C32" s="32" t="s">
        <v>279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/>
      <c r="N32" s="32">
        <v>3</v>
      </c>
    </row>
    <row r="33" spans="1:14" x14ac:dyDescent="0.25">
      <c r="C33" s="32" t="s">
        <v>280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/>
      <c r="N33" s="32">
        <v>3</v>
      </c>
    </row>
    <row r="34" spans="1:14" x14ac:dyDescent="0.25">
      <c r="C34" s="32" t="s">
        <v>281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/>
      <c r="N34" s="32">
        <v>2</v>
      </c>
    </row>
    <row r="35" spans="1:14" x14ac:dyDescent="0.2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19" t="s">
        <v>282</v>
      </c>
      <c r="C36" s="32" t="s">
        <v>78</v>
      </c>
      <c r="D36" s="32">
        <v>10</v>
      </c>
      <c r="E36" s="32">
        <v>0</v>
      </c>
      <c r="F36" s="32">
        <v>5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</row>
    <row r="37" spans="1:14" x14ac:dyDescent="0.25">
      <c r="C37" s="32" t="s">
        <v>79</v>
      </c>
      <c r="D37" s="32">
        <v>10</v>
      </c>
      <c r="E37" s="32">
        <v>0</v>
      </c>
      <c r="F37" s="32">
        <v>5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</row>
    <row r="38" spans="1:14" x14ac:dyDescent="0.25">
      <c r="C38" s="32" t="s">
        <v>80</v>
      </c>
      <c r="D38" s="32">
        <v>20</v>
      </c>
      <c r="E38" s="32">
        <v>0</v>
      </c>
      <c r="F38" s="32">
        <v>5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</row>
    <row r="39" spans="1:14" x14ac:dyDescent="0.25">
      <c r="C39" s="32" t="s">
        <v>81</v>
      </c>
      <c r="D39" s="32">
        <v>20</v>
      </c>
      <c r="E39" s="32">
        <v>0</v>
      </c>
      <c r="F39" s="32">
        <v>5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</row>
    <row r="40" spans="1:14" x14ac:dyDescent="0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19" t="s">
        <v>283</v>
      </c>
      <c r="C41" s="32" t="s">
        <v>82</v>
      </c>
      <c r="D41" s="32">
        <v>15</v>
      </c>
      <c r="E41" s="32">
        <v>0</v>
      </c>
      <c r="F41" s="32">
        <v>5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</row>
    <row r="42" spans="1:14" x14ac:dyDescent="0.25">
      <c r="C42" s="32" t="s">
        <v>83</v>
      </c>
      <c r="D42" s="32">
        <v>15</v>
      </c>
      <c r="E42" s="32">
        <v>0</v>
      </c>
      <c r="F42" s="32">
        <v>5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</row>
    <row r="43" spans="1:14" x14ac:dyDescent="0.25">
      <c r="C43" s="32" t="s">
        <v>52</v>
      </c>
      <c r="D43" s="32">
        <v>15</v>
      </c>
      <c r="E43" s="32">
        <v>0</v>
      </c>
      <c r="F43" s="32">
        <v>5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</row>
    <row r="44" spans="1:14" x14ac:dyDescent="0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19" t="s">
        <v>284</v>
      </c>
      <c r="C45" s="32" t="s">
        <v>292</v>
      </c>
      <c r="D45" s="32">
        <v>15</v>
      </c>
      <c r="E45" s="32">
        <v>0</v>
      </c>
      <c r="F45" s="32">
        <v>0</v>
      </c>
      <c r="G45" s="32">
        <v>15</v>
      </c>
      <c r="H45" s="32">
        <v>10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</row>
    <row r="46" spans="1:14" x14ac:dyDescent="0.25">
      <c r="C46" s="32" t="s">
        <v>286</v>
      </c>
      <c r="D46" s="32">
        <v>10</v>
      </c>
      <c r="E46" s="32">
        <v>100</v>
      </c>
      <c r="F46" s="32">
        <v>15</v>
      </c>
      <c r="G46" s="32">
        <v>45</v>
      </c>
      <c r="H46" s="32">
        <v>10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</row>
    <row r="47" spans="1:14" x14ac:dyDescent="0.25">
      <c r="C47" s="32" t="s">
        <v>287</v>
      </c>
      <c r="D47" s="32">
        <v>10</v>
      </c>
      <c r="E47" s="32">
        <v>100</v>
      </c>
      <c r="F47" s="32">
        <v>15</v>
      </c>
      <c r="G47" s="32">
        <v>45</v>
      </c>
      <c r="H47" s="32">
        <v>10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</row>
    <row r="48" spans="1:14" x14ac:dyDescent="0.2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19" t="s">
        <v>288</v>
      </c>
      <c r="C49" s="32" t="s">
        <v>291</v>
      </c>
      <c r="D49" s="32">
        <v>15</v>
      </c>
      <c r="E49" s="32">
        <v>0</v>
      </c>
      <c r="F49" s="32">
        <v>10</v>
      </c>
      <c r="G49" s="32">
        <v>10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/>
      <c r="N49" s="32">
        <v>0</v>
      </c>
    </row>
    <row r="50" spans="1:14" x14ac:dyDescent="0.2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19" t="s">
        <v>289</v>
      </c>
      <c r="C51" s="32" t="s">
        <v>290</v>
      </c>
      <c r="D51" s="32">
        <v>30</v>
      </c>
      <c r="E51" s="32">
        <v>0</v>
      </c>
      <c r="F51" s="32">
        <v>5</v>
      </c>
      <c r="G51" s="32">
        <v>15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/>
      <c r="N51" s="32">
        <v>0</v>
      </c>
    </row>
    <row r="52" spans="1:14" x14ac:dyDescent="0.2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19" t="s">
        <v>293</v>
      </c>
      <c r="C53" s="32" t="s">
        <v>294</v>
      </c>
      <c r="D53" s="32">
        <v>30</v>
      </c>
      <c r="E53" s="32">
        <v>0</v>
      </c>
      <c r="F53" s="32">
        <v>5</v>
      </c>
      <c r="G53" s="32">
        <v>10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/>
      <c r="N53" s="32">
        <v>0</v>
      </c>
    </row>
    <row r="54" spans="1:14" x14ac:dyDescent="0.2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19" t="s">
        <v>218</v>
      </c>
      <c r="C55" s="32" t="s">
        <v>295</v>
      </c>
      <c r="D55" s="32">
        <v>30</v>
      </c>
      <c r="E55" s="32">
        <v>0</v>
      </c>
      <c r="F55" s="32">
        <v>5</v>
      </c>
      <c r="G55" s="32">
        <v>10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/>
      <c r="N55" s="32">
        <v>0</v>
      </c>
    </row>
    <row r="56" spans="1:14" x14ac:dyDescent="0.2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19" t="s">
        <v>296</v>
      </c>
      <c r="C57" s="32" t="s">
        <v>297</v>
      </c>
      <c r="D57" s="32">
        <v>20</v>
      </c>
      <c r="E57" s="32">
        <v>0</v>
      </c>
      <c r="F57" s="32">
        <v>5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/>
      <c r="N57" s="32">
        <v>0</v>
      </c>
    </row>
    <row r="58" spans="1:14" x14ac:dyDescent="0.2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C59" s="32" t="s">
        <v>545</v>
      </c>
      <c r="D59" s="32">
        <v>25</v>
      </c>
      <c r="E59" s="32"/>
      <c r="F59" s="32">
        <v>5</v>
      </c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C61" s="36" t="s">
        <v>547</v>
      </c>
      <c r="D61" s="32">
        <v>10</v>
      </c>
      <c r="E61" s="32"/>
      <c r="F61" s="32">
        <v>5</v>
      </c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x14ac:dyDescent="0.25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x14ac:dyDescent="0.25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4:14" x14ac:dyDescent="0.25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4:14" x14ac:dyDescent="0.25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4:14" x14ac:dyDescent="0.25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</sheetData>
  <mergeCells count="1">
    <mergeCell ref="C3:N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2:L181"/>
  <sheetViews>
    <sheetView showGridLines="0" workbookViewId="0">
      <selection activeCell="F14" sqref="F14 J14"/>
    </sheetView>
  </sheetViews>
  <sheetFormatPr defaultRowHeight="15" x14ac:dyDescent="0.25"/>
  <cols>
    <col min="1" max="1" width="9.140625" style="63"/>
    <col min="2" max="2" width="0" style="63" hidden="1" customWidth="1"/>
    <col min="3" max="3" width="60.5703125" style="90" customWidth="1"/>
    <col min="4" max="4" width="7" style="91" bestFit="1" customWidth="1"/>
    <col min="5" max="5" width="6.42578125" style="91" bestFit="1" customWidth="1"/>
    <col min="6" max="6" width="9.28515625" style="91" customWidth="1"/>
    <col min="7" max="7" width="7" style="91" customWidth="1"/>
    <col min="8" max="8" width="9.140625" style="91" hidden="1" customWidth="1"/>
    <col min="9" max="9" width="7" style="91" bestFit="1" customWidth="1"/>
    <col min="10" max="10" width="9.140625" style="91" hidden="1" customWidth="1"/>
    <col min="11" max="11" width="9.140625" style="92"/>
    <col min="12" max="12" width="9.140625" style="93"/>
    <col min="13" max="16384" width="9.140625" style="63"/>
  </cols>
  <sheetData>
    <row r="2" spans="2:11" x14ac:dyDescent="0.25">
      <c r="C2" s="270" t="s">
        <v>507</v>
      </c>
      <c r="D2" s="267" t="s">
        <v>508</v>
      </c>
      <c r="E2" s="268"/>
      <c r="F2" s="269"/>
      <c r="G2" s="61">
        <v>0.05</v>
      </c>
    </row>
    <row r="3" spans="2:11" x14ac:dyDescent="0.25">
      <c r="C3" s="271"/>
      <c r="D3" s="267" t="s">
        <v>619</v>
      </c>
      <c r="E3" s="268"/>
      <c r="F3" s="269"/>
      <c r="G3" s="61">
        <v>0.06</v>
      </c>
    </row>
    <row r="4" spans="2:11" x14ac:dyDescent="0.25">
      <c r="C4" s="272"/>
      <c r="D4" s="267" t="s">
        <v>509</v>
      </c>
      <c r="E4" s="268"/>
      <c r="F4" s="269"/>
      <c r="G4" s="61">
        <v>0.05</v>
      </c>
    </row>
    <row r="6" spans="2:11" ht="15.75" x14ac:dyDescent="0.25">
      <c r="C6" s="236" t="s">
        <v>505</v>
      </c>
      <c r="D6" s="236"/>
      <c r="E6" s="236"/>
      <c r="F6" s="236"/>
      <c r="G6" s="236"/>
      <c r="H6" s="236"/>
      <c r="I6" s="236"/>
      <c r="J6" s="236"/>
      <c r="K6" s="236"/>
    </row>
    <row r="7" spans="2:11" ht="33.75" customHeight="1" x14ac:dyDescent="0.25">
      <c r="C7" s="273" t="s">
        <v>504</v>
      </c>
      <c r="D7" s="240" t="s">
        <v>461</v>
      </c>
      <c r="E7" s="241"/>
      <c r="F7" s="240" t="s">
        <v>463</v>
      </c>
      <c r="G7" s="266"/>
      <c r="H7" s="266"/>
      <c r="I7" s="241"/>
      <c r="J7" s="203"/>
      <c r="K7" s="273" t="s">
        <v>464</v>
      </c>
    </row>
    <row r="8" spans="2:11" ht="30" x14ac:dyDescent="0.25">
      <c r="C8" s="274"/>
      <c r="D8" s="184" t="s">
        <v>465</v>
      </c>
      <c r="E8" s="184" t="s">
        <v>3</v>
      </c>
      <c r="F8" s="184" t="s">
        <v>462</v>
      </c>
      <c r="G8" s="184" t="s">
        <v>3</v>
      </c>
      <c r="H8" s="184"/>
      <c r="I8" s="184" t="s">
        <v>506</v>
      </c>
      <c r="J8" s="204"/>
      <c r="K8" s="274"/>
    </row>
    <row r="9" spans="2:11" x14ac:dyDescent="0.25">
      <c r="B9" s="63">
        <v>4</v>
      </c>
      <c r="C9" s="67" t="s">
        <v>21</v>
      </c>
      <c r="D9" s="82"/>
      <c r="E9" s="82"/>
      <c r="F9" s="82"/>
      <c r="G9" s="94"/>
      <c r="H9" s="82"/>
      <c r="I9" s="82"/>
      <c r="J9" s="82"/>
      <c r="K9" s="95"/>
    </row>
    <row r="10" spans="2:11" x14ac:dyDescent="0.25">
      <c r="B10" s="63">
        <v>3</v>
      </c>
      <c r="C10" s="67" t="s">
        <v>307</v>
      </c>
      <c r="D10" s="82">
        <v>60</v>
      </c>
      <c r="E10" s="82" t="s">
        <v>308</v>
      </c>
      <c r="F10" s="82">
        <v>9</v>
      </c>
      <c r="G10" s="83">
        <f>(F10/D10)*5</f>
        <v>0.75</v>
      </c>
      <c r="H10" s="82" t="s">
        <v>308</v>
      </c>
      <c r="I10" s="83">
        <f>((SUM($G$2:$G$4)*G10)+G10)</f>
        <v>0.87</v>
      </c>
      <c r="J10" s="82">
        <v>5</v>
      </c>
      <c r="K10" s="95" t="str">
        <f t="shared" ref="K10:K41" si="0">J10&amp;H10</f>
        <v>5ml</v>
      </c>
    </row>
    <row r="11" spans="2:11" x14ac:dyDescent="0.25">
      <c r="B11" s="63">
        <v>2</v>
      </c>
      <c r="C11" s="67" t="s">
        <v>20</v>
      </c>
      <c r="D11" s="82">
        <v>10</v>
      </c>
      <c r="E11" s="96" t="s">
        <v>244</v>
      </c>
      <c r="F11" s="82">
        <f>0.39*10</f>
        <v>3.9000000000000004</v>
      </c>
      <c r="G11" s="83">
        <v>0.45</v>
      </c>
      <c r="H11" s="82" t="s">
        <v>244</v>
      </c>
      <c r="I11" s="83">
        <f t="shared" ref="I11:I74" si="1">((SUM($G$2:$G$4)*G11)+G11)</f>
        <v>0.52200000000000002</v>
      </c>
      <c r="J11" s="82">
        <v>1</v>
      </c>
      <c r="K11" s="95" t="str">
        <f t="shared" si="0"/>
        <v>1tab</v>
      </c>
    </row>
    <row r="12" spans="2:11" x14ac:dyDescent="0.25">
      <c r="B12" s="63">
        <v>1</v>
      </c>
      <c r="C12" s="67" t="s">
        <v>309</v>
      </c>
      <c r="D12" s="82">
        <v>600</v>
      </c>
      <c r="E12" s="96" t="s">
        <v>244</v>
      </c>
      <c r="F12" s="82">
        <v>300</v>
      </c>
      <c r="G12" s="83">
        <f>F12/D12</f>
        <v>0.5</v>
      </c>
      <c r="H12" s="82" t="s">
        <v>244</v>
      </c>
      <c r="I12" s="83">
        <f t="shared" si="1"/>
        <v>0.57999999999999996</v>
      </c>
      <c r="J12" s="82">
        <v>1</v>
      </c>
      <c r="K12" s="95" t="str">
        <f t="shared" si="0"/>
        <v>1tab</v>
      </c>
    </row>
    <row r="13" spans="2:11" x14ac:dyDescent="0.25">
      <c r="B13" s="63">
        <v>160</v>
      </c>
      <c r="C13" s="67" t="s">
        <v>310</v>
      </c>
      <c r="D13" s="82"/>
      <c r="E13" s="82"/>
      <c r="F13" s="82"/>
      <c r="G13" s="83"/>
      <c r="H13" s="82"/>
      <c r="I13" s="83">
        <f t="shared" si="1"/>
        <v>0</v>
      </c>
      <c r="J13" s="82"/>
      <c r="K13" s="95" t="str">
        <f t="shared" si="0"/>
        <v/>
      </c>
    </row>
    <row r="14" spans="2:11" x14ac:dyDescent="0.25">
      <c r="B14" s="63">
        <v>37</v>
      </c>
      <c r="C14" s="67" t="s">
        <v>311</v>
      </c>
      <c r="D14" s="82"/>
      <c r="E14" s="82" t="s">
        <v>308</v>
      </c>
      <c r="F14" s="82"/>
      <c r="G14" s="83">
        <v>13</v>
      </c>
      <c r="H14" s="82" t="s">
        <v>308</v>
      </c>
      <c r="I14" s="83">
        <f t="shared" si="1"/>
        <v>15.08</v>
      </c>
      <c r="J14" s="82">
        <v>1</v>
      </c>
      <c r="K14" s="95" t="str">
        <f t="shared" si="0"/>
        <v>1ml</v>
      </c>
    </row>
    <row r="15" spans="2:11" x14ac:dyDescent="0.25">
      <c r="B15" s="63">
        <v>188</v>
      </c>
      <c r="C15" s="67" t="s">
        <v>312</v>
      </c>
      <c r="D15" s="82"/>
      <c r="E15" s="82"/>
      <c r="F15" s="82"/>
      <c r="G15" s="83">
        <v>13</v>
      </c>
      <c r="H15" s="82" t="s">
        <v>308</v>
      </c>
      <c r="I15" s="83">
        <f t="shared" si="1"/>
        <v>15.08</v>
      </c>
      <c r="J15" s="82">
        <v>1</v>
      </c>
      <c r="K15" s="95" t="str">
        <f t="shared" si="0"/>
        <v>1ml</v>
      </c>
    </row>
    <row r="16" spans="2:11" x14ac:dyDescent="0.25">
      <c r="B16" s="63">
        <v>60</v>
      </c>
      <c r="C16" s="67" t="s">
        <v>313</v>
      </c>
      <c r="D16" s="82"/>
      <c r="E16" s="82"/>
      <c r="F16" s="82"/>
      <c r="G16" s="83"/>
      <c r="H16" s="82"/>
      <c r="I16" s="83">
        <f t="shared" si="1"/>
        <v>0</v>
      </c>
      <c r="J16" s="82"/>
      <c r="K16" s="95" t="str">
        <f t="shared" si="0"/>
        <v/>
      </c>
    </row>
    <row r="17" spans="2:12" ht="30" x14ac:dyDescent="0.25">
      <c r="B17" s="63">
        <v>109</v>
      </c>
      <c r="C17" s="97" t="s">
        <v>314</v>
      </c>
      <c r="D17" s="82">
        <v>120</v>
      </c>
      <c r="E17" s="82" t="s">
        <v>308</v>
      </c>
      <c r="F17" s="82">
        <v>15</v>
      </c>
      <c r="G17" s="83">
        <f>F17/D17*5</f>
        <v>0.625</v>
      </c>
      <c r="H17" s="82" t="s">
        <v>308</v>
      </c>
      <c r="I17" s="83">
        <f t="shared" si="1"/>
        <v>0.72499999999999998</v>
      </c>
      <c r="J17" s="82">
        <v>5</v>
      </c>
      <c r="K17" s="95" t="str">
        <f t="shared" si="0"/>
        <v>5ml</v>
      </c>
    </row>
    <row r="18" spans="2:12" x14ac:dyDescent="0.25">
      <c r="B18" s="63">
        <v>144</v>
      </c>
      <c r="C18" s="67" t="s">
        <v>315</v>
      </c>
      <c r="D18" s="82">
        <v>10</v>
      </c>
      <c r="E18" s="82" t="s">
        <v>308</v>
      </c>
      <c r="F18" s="82">
        <v>6</v>
      </c>
      <c r="G18" s="83">
        <f>F18/D18</f>
        <v>0.6</v>
      </c>
      <c r="H18" s="82" t="s">
        <v>308</v>
      </c>
      <c r="I18" s="83">
        <f t="shared" si="1"/>
        <v>0.69599999999999995</v>
      </c>
      <c r="J18" s="82">
        <v>1</v>
      </c>
      <c r="K18" s="95" t="str">
        <f t="shared" si="0"/>
        <v>1ml</v>
      </c>
    </row>
    <row r="19" spans="2:12" x14ac:dyDescent="0.25">
      <c r="B19" s="63">
        <v>14</v>
      </c>
      <c r="C19" s="67" t="s">
        <v>316</v>
      </c>
      <c r="D19" s="82"/>
      <c r="E19" s="82"/>
      <c r="F19" s="82"/>
      <c r="G19" s="83"/>
      <c r="H19" s="82"/>
      <c r="I19" s="83">
        <f t="shared" si="1"/>
        <v>0</v>
      </c>
      <c r="J19" s="82"/>
      <c r="K19" s="95" t="str">
        <f t="shared" si="0"/>
        <v/>
      </c>
    </row>
    <row r="20" spans="2:12" x14ac:dyDescent="0.25">
      <c r="B20" s="63">
        <v>13</v>
      </c>
      <c r="C20" s="67" t="s">
        <v>317</v>
      </c>
      <c r="D20" s="82"/>
      <c r="E20" s="82"/>
      <c r="F20" s="82"/>
      <c r="G20" s="83"/>
      <c r="H20" s="82"/>
      <c r="I20" s="83">
        <f t="shared" si="1"/>
        <v>0</v>
      </c>
      <c r="J20" s="82"/>
      <c r="K20" s="95" t="str">
        <f t="shared" si="0"/>
        <v/>
      </c>
    </row>
    <row r="21" spans="2:12" x14ac:dyDescent="0.25">
      <c r="B21" s="63">
        <v>11</v>
      </c>
      <c r="C21" s="67" t="s">
        <v>318</v>
      </c>
      <c r="D21" s="82">
        <v>100</v>
      </c>
      <c r="E21" s="96" t="s">
        <v>244</v>
      </c>
      <c r="F21" s="82">
        <v>198</v>
      </c>
      <c r="G21" s="83">
        <v>2.5</v>
      </c>
      <c r="H21" s="82" t="s">
        <v>244</v>
      </c>
      <c r="I21" s="83">
        <f t="shared" si="1"/>
        <v>2.9</v>
      </c>
      <c r="J21" s="82">
        <v>1</v>
      </c>
      <c r="K21" s="95" t="str">
        <f t="shared" si="0"/>
        <v>1tab</v>
      </c>
      <c r="L21" s="155"/>
    </row>
    <row r="22" spans="2:12" x14ac:dyDescent="0.25">
      <c r="B22" s="63">
        <v>12</v>
      </c>
      <c r="C22" s="67" t="s">
        <v>319</v>
      </c>
      <c r="D22" s="82">
        <v>1</v>
      </c>
      <c r="E22" s="82" t="s">
        <v>308</v>
      </c>
      <c r="F22" s="82">
        <v>0.6</v>
      </c>
      <c r="G22" s="83">
        <v>2.5</v>
      </c>
      <c r="H22" s="82" t="s">
        <v>308</v>
      </c>
      <c r="I22" s="83">
        <f t="shared" si="1"/>
        <v>2.9</v>
      </c>
      <c r="J22" s="82">
        <v>5</v>
      </c>
      <c r="K22" s="95" t="str">
        <f t="shared" si="0"/>
        <v>5ml</v>
      </c>
    </row>
    <row r="23" spans="2:12" x14ac:dyDescent="0.25">
      <c r="B23" s="63">
        <v>22</v>
      </c>
      <c r="C23" s="67" t="s">
        <v>320</v>
      </c>
      <c r="D23" s="82"/>
      <c r="E23" s="82"/>
      <c r="F23" s="82"/>
      <c r="G23" s="83">
        <v>8</v>
      </c>
      <c r="H23" s="82" t="s">
        <v>321</v>
      </c>
      <c r="I23" s="83">
        <f t="shared" si="1"/>
        <v>9.2799999999999994</v>
      </c>
      <c r="J23" s="82">
        <v>1</v>
      </c>
      <c r="K23" s="95" t="str">
        <f t="shared" si="0"/>
        <v>1inj</v>
      </c>
    </row>
    <row r="24" spans="2:12" x14ac:dyDescent="0.25">
      <c r="B24" s="63">
        <v>107</v>
      </c>
      <c r="C24" s="67" t="s">
        <v>322</v>
      </c>
      <c r="D24" s="82"/>
      <c r="E24" s="82"/>
      <c r="F24" s="82"/>
      <c r="G24" s="83"/>
      <c r="H24" s="82"/>
      <c r="I24" s="83">
        <f t="shared" si="1"/>
        <v>0</v>
      </c>
      <c r="J24" s="82"/>
      <c r="K24" s="95" t="str">
        <f t="shared" si="0"/>
        <v/>
      </c>
    </row>
    <row r="25" spans="2:12" x14ac:dyDescent="0.25">
      <c r="B25" s="63">
        <v>66</v>
      </c>
      <c r="C25" s="67" t="s">
        <v>323</v>
      </c>
      <c r="D25" s="82"/>
      <c r="E25" s="82" t="s">
        <v>244</v>
      </c>
      <c r="F25" s="82"/>
      <c r="G25" s="83">
        <v>16</v>
      </c>
      <c r="H25" s="82"/>
      <c r="I25" s="83">
        <f t="shared" si="1"/>
        <v>18.559999999999999</v>
      </c>
      <c r="J25" s="82"/>
      <c r="K25" s="95" t="str">
        <f t="shared" si="0"/>
        <v/>
      </c>
    </row>
    <row r="26" spans="2:12" x14ac:dyDescent="0.25">
      <c r="B26" s="63">
        <v>157</v>
      </c>
      <c r="C26" s="67" t="s">
        <v>324</v>
      </c>
      <c r="D26" s="82"/>
      <c r="E26" s="82"/>
      <c r="F26" s="82"/>
      <c r="G26" s="83">
        <v>0.54</v>
      </c>
      <c r="H26" s="82" t="s">
        <v>244</v>
      </c>
      <c r="I26" s="83">
        <f t="shared" si="1"/>
        <v>0.62640000000000007</v>
      </c>
      <c r="J26" s="82">
        <v>1</v>
      </c>
      <c r="K26" s="95" t="str">
        <f t="shared" si="0"/>
        <v>1tab</v>
      </c>
    </row>
    <row r="27" spans="2:12" x14ac:dyDescent="0.25">
      <c r="B27" s="63">
        <v>103</v>
      </c>
      <c r="C27" s="67" t="s">
        <v>325</v>
      </c>
      <c r="D27" s="82"/>
      <c r="E27" s="82"/>
      <c r="F27" s="82"/>
      <c r="G27" s="83">
        <v>0.38</v>
      </c>
      <c r="H27" s="82" t="s">
        <v>244</v>
      </c>
      <c r="I27" s="83">
        <f t="shared" si="1"/>
        <v>0.44080000000000003</v>
      </c>
      <c r="J27" s="82">
        <v>1</v>
      </c>
      <c r="K27" s="95" t="str">
        <f t="shared" si="0"/>
        <v>1tab</v>
      </c>
    </row>
    <row r="28" spans="2:12" x14ac:dyDescent="0.25">
      <c r="B28" s="63">
        <v>120</v>
      </c>
      <c r="C28" s="67" t="s">
        <v>326</v>
      </c>
      <c r="D28" s="82"/>
      <c r="E28" s="82"/>
      <c r="F28" s="82"/>
      <c r="G28" s="83"/>
      <c r="H28" s="82"/>
      <c r="I28" s="83">
        <f t="shared" si="1"/>
        <v>0</v>
      </c>
      <c r="J28" s="82"/>
      <c r="K28" s="95" t="str">
        <f t="shared" si="0"/>
        <v/>
      </c>
    </row>
    <row r="29" spans="2:12" x14ac:dyDescent="0.25">
      <c r="B29" s="63">
        <v>190</v>
      </c>
      <c r="C29" s="67" t="s">
        <v>327</v>
      </c>
      <c r="D29" s="82"/>
      <c r="E29" s="82"/>
      <c r="F29" s="82"/>
      <c r="G29" s="83">
        <v>10</v>
      </c>
      <c r="H29" s="82" t="s">
        <v>244</v>
      </c>
      <c r="I29" s="83">
        <f t="shared" si="1"/>
        <v>11.6</v>
      </c>
      <c r="J29" s="82">
        <v>1</v>
      </c>
      <c r="K29" s="95" t="str">
        <f t="shared" si="0"/>
        <v>1tab</v>
      </c>
    </row>
    <row r="30" spans="2:12" x14ac:dyDescent="0.25">
      <c r="B30" s="63">
        <v>192</v>
      </c>
      <c r="C30" s="67" t="s">
        <v>328</v>
      </c>
      <c r="D30" s="82"/>
      <c r="E30" s="82"/>
      <c r="F30" s="82"/>
      <c r="G30" s="83">
        <v>10.5</v>
      </c>
      <c r="H30" s="82" t="s">
        <v>300</v>
      </c>
      <c r="I30" s="83">
        <f t="shared" si="1"/>
        <v>12.18</v>
      </c>
      <c r="J30" s="82">
        <v>1</v>
      </c>
      <c r="K30" s="95" t="str">
        <f t="shared" si="0"/>
        <v>1dose</v>
      </c>
    </row>
    <row r="31" spans="2:12" x14ac:dyDescent="0.25">
      <c r="B31" s="63">
        <v>153</v>
      </c>
      <c r="C31" s="67" t="s">
        <v>329</v>
      </c>
      <c r="D31" s="82">
        <v>120</v>
      </c>
      <c r="E31" s="82" t="s">
        <v>308</v>
      </c>
      <c r="F31" s="82">
        <v>15</v>
      </c>
      <c r="G31" s="83">
        <f>F31/D31*5</f>
        <v>0.625</v>
      </c>
      <c r="H31" s="82" t="s">
        <v>308</v>
      </c>
      <c r="I31" s="83">
        <f t="shared" si="1"/>
        <v>0.72499999999999998</v>
      </c>
      <c r="J31" s="82">
        <v>5</v>
      </c>
      <c r="K31" s="95" t="str">
        <f t="shared" si="0"/>
        <v>5ml</v>
      </c>
    </row>
    <row r="32" spans="2:12" x14ac:dyDescent="0.25">
      <c r="B32" s="63">
        <v>154</v>
      </c>
      <c r="C32" s="67" t="s">
        <v>330</v>
      </c>
      <c r="D32" s="82">
        <v>30</v>
      </c>
      <c r="E32" s="82" t="s">
        <v>244</v>
      </c>
      <c r="F32" s="82">
        <v>55</v>
      </c>
      <c r="G32" s="83">
        <f>F32/D32</f>
        <v>1.8333333333333333</v>
      </c>
      <c r="H32" s="82" t="s">
        <v>244</v>
      </c>
      <c r="I32" s="83">
        <f t="shared" si="1"/>
        <v>2.1266666666666665</v>
      </c>
      <c r="J32" s="82">
        <v>1</v>
      </c>
      <c r="K32" s="95" t="str">
        <f t="shared" si="0"/>
        <v>1tab</v>
      </c>
    </row>
    <row r="33" spans="2:12" x14ac:dyDescent="0.25">
      <c r="B33" s="63">
        <v>77</v>
      </c>
      <c r="C33" s="67" t="s">
        <v>331</v>
      </c>
      <c r="D33" s="82"/>
      <c r="E33" s="82"/>
      <c r="F33" s="82"/>
      <c r="G33" s="83"/>
      <c r="H33" s="82"/>
      <c r="I33" s="83">
        <f t="shared" si="1"/>
        <v>0</v>
      </c>
      <c r="J33" s="82"/>
      <c r="K33" s="95" t="str">
        <f t="shared" si="0"/>
        <v/>
      </c>
    </row>
    <row r="34" spans="2:12" x14ac:dyDescent="0.25">
      <c r="B34" s="63">
        <v>167</v>
      </c>
      <c r="C34" s="67" t="s">
        <v>12</v>
      </c>
      <c r="D34" s="82"/>
      <c r="E34" s="82"/>
      <c r="F34" s="82"/>
      <c r="G34" s="83"/>
      <c r="H34" s="82"/>
      <c r="I34" s="83">
        <f t="shared" si="1"/>
        <v>0</v>
      </c>
      <c r="J34" s="82"/>
      <c r="K34" s="95" t="str">
        <f t="shared" si="0"/>
        <v/>
      </c>
    </row>
    <row r="35" spans="2:12" x14ac:dyDescent="0.25">
      <c r="B35" s="63">
        <v>88</v>
      </c>
      <c r="C35" s="67" t="s">
        <v>332</v>
      </c>
      <c r="D35" s="82">
        <v>60</v>
      </c>
      <c r="E35" s="82" t="s">
        <v>308</v>
      </c>
      <c r="F35" s="82">
        <v>15</v>
      </c>
      <c r="G35" s="83">
        <f>F35/D35</f>
        <v>0.25</v>
      </c>
      <c r="H35" s="82" t="s">
        <v>308</v>
      </c>
      <c r="I35" s="83">
        <f t="shared" si="1"/>
        <v>0.28999999999999998</v>
      </c>
      <c r="J35" s="82">
        <v>1</v>
      </c>
      <c r="K35" s="95" t="str">
        <f t="shared" si="0"/>
        <v>1ml</v>
      </c>
    </row>
    <row r="36" spans="2:12" x14ac:dyDescent="0.25">
      <c r="B36" s="63">
        <v>122</v>
      </c>
      <c r="C36" s="67" t="s">
        <v>333</v>
      </c>
      <c r="D36" s="82"/>
      <c r="E36" s="82"/>
      <c r="F36" s="82"/>
      <c r="G36" s="83">
        <v>0.35</v>
      </c>
      <c r="H36" s="82" t="s">
        <v>244</v>
      </c>
      <c r="I36" s="83">
        <f t="shared" si="1"/>
        <v>0.40599999999999997</v>
      </c>
      <c r="J36" s="82">
        <v>1</v>
      </c>
      <c r="K36" s="95" t="str">
        <f t="shared" si="0"/>
        <v>1tab</v>
      </c>
    </row>
    <row r="37" spans="2:12" x14ac:dyDescent="0.25">
      <c r="B37" s="63">
        <v>91</v>
      </c>
      <c r="C37" s="67" t="s">
        <v>334</v>
      </c>
      <c r="D37" s="82">
        <v>120</v>
      </c>
      <c r="E37" s="82" t="s">
        <v>308</v>
      </c>
      <c r="F37" s="82">
        <v>205</v>
      </c>
      <c r="G37" s="83">
        <f>F37/D37</f>
        <v>1.7083333333333333</v>
      </c>
      <c r="H37" s="82" t="s">
        <v>308</v>
      </c>
      <c r="I37" s="83">
        <f t="shared" si="1"/>
        <v>1.9816666666666665</v>
      </c>
      <c r="J37" s="82">
        <v>1</v>
      </c>
      <c r="K37" s="95" t="str">
        <f t="shared" si="0"/>
        <v>1ml</v>
      </c>
    </row>
    <row r="38" spans="2:12" x14ac:dyDescent="0.25">
      <c r="B38" s="63">
        <v>156</v>
      </c>
      <c r="C38" s="67" t="s">
        <v>335</v>
      </c>
      <c r="D38" s="82"/>
      <c r="E38" s="82"/>
      <c r="F38" s="82"/>
      <c r="G38" s="83">
        <v>0.78</v>
      </c>
      <c r="H38" s="82" t="s">
        <v>244</v>
      </c>
      <c r="I38" s="83">
        <f t="shared" si="1"/>
        <v>0.90480000000000005</v>
      </c>
      <c r="J38" s="82">
        <v>1</v>
      </c>
      <c r="K38" s="95" t="str">
        <f t="shared" si="0"/>
        <v>1tab</v>
      </c>
    </row>
    <row r="39" spans="2:12" x14ac:dyDescent="0.25">
      <c r="B39" s="63">
        <v>21</v>
      </c>
      <c r="C39" s="67" t="s">
        <v>145</v>
      </c>
      <c r="D39" s="82">
        <v>1</v>
      </c>
      <c r="E39" s="82" t="s">
        <v>246</v>
      </c>
      <c r="F39" s="82">
        <v>29</v>
      </c>
      <c r="G39" s="83">
        <f>F39</f>
        <v>29</v>
      </c>
      <c r="H39" s="82"/>
      <c r="I39" s="83">
        <f t="shared" si="1"/>
        <v>33.64</v>
      </c>
      <c r="J39" s="82"/>
      <c r="K39" s="95" t="str">
        <f t="shared" si="0"/>
        <v/>
      </c>
    </row>
    <row r="40" spans="2:12" x14ac:dyDescent="0.25">
      <c r="B40" s="63">
        <v>138</v>
      </c>
      <c r="C40" s="67" t="s">
        <v>336</v>
      </c>
      <c r="D40" s="82"/>
      <c r="E40" s="82"/>
      <c r="F40" s="82"/>
      <c r="G40" s="83"/>
      <c r="H40" s="82"/>
      <c r="I40" s="83">
        <f t="shared" si="1"/>
        <v>0</v>
      </c>
      <c r="J40" s="82"/>
      <c r="K40" s="95" t="str">
        <f t="shared" si="0"/>
        <v/>
      </c>
    </row>
    <row r="41" spans="2:12" x14ac:dyDescent="0.25">
      <c r="B41" s="63">
        <v>134</v>
      </c>
      <c r="C41" s="67" t="s">
        <v>337</v>
      </c>
      <c r="D41" s="82">
        <v>10</v>
      </c>
      <c r="E41" s="82" t="s">
        <v>308</v>
      </c>
      <c r="F41" s="82">
        <v>10</v>
      </c>
      <c r="G41" s="83">
        <f>F41/D41</f>
        <v>1</v>
      </c>
      <c r="H41" s="82" t="s">
        <v>308</v>
      </c>
      <c r="I41" s="83">
        <f t="shared" si="1"/>
        <v>1.1599999999999999</v>
      </c>
      <c r="J41" s="82">
        <v>1</v>
      </c>
      <c r="K41" s="95" t="str">
        <f t="shared" si="0"/>
        <v>1ml</v>
      </c>
    </row>
    <row r="42" spans="2:12" x14ac:dyDescent="0.25">
      <c r="B42" s="63">
        <v>135</v>
      </c>
      <c r="C42" s="67" t="s">
        <v>338</v>
      </c>
      <c r="D42" s="82"/>
      <c r="E42" s="82"/>
      <c r="F42" s="82"/>
      <c r="G42" s="83">
        <v>4.75</v>
      </c>
      <c r="H42" s="82" t="s">
        <v>308</v>
      </c>
      <c r="I42" s="83">
        <f t="shared" si="1"/>
        <v>5.51</v>
      </c>
      <c r="J42" s="82">
        <v>1</v>
      </c>
      <c r="K42" s="95" t="str">
        <f t="shared" ref="K42:K73" si="2">J42&amp;H42</f>
        <v>1ml</v>
      </c>
    </row>
    <row r="43" spans="2:12" x14ac:dyDescent="0.25">
      <c r="B43" s="63">
        <v>164</v>
      </c>
      <c r="C43" s="67" t="s">
        <v>339</v>
      </c>
      <c r="D43" s="82"/>
      <c r="E43" s="82"/>
      <c r="F43" s="82"/>
      <c r="G43" s="83"/>
      <c r="H43" s="82"/>
      <c r="I43" s="83">
        <f t="shared" si="1"/>
        <v>0</v>
      </c>
      <c r="J43" s="82"/>
      <c r="K43" s="95" t="str">
        <f t="shared" si="2"/>
        <v/>
      </c>
    </row>
    <row r="44" spans="2:12" x14ac:dyDescent="0.25">
      <c r="B44" s="63">
        <v>63</v>
      </c>
      <c r="C44" s="67" t="s">
        <v>340</v>
      </c>
      <c r="D44" s="82">
        <v>60</v>
      </c>
      <c r="E44" s="82" t="s">
        <v>308</v>
      </c>
      <c r="F44" s="82">
        <v>12</v>
      </c>
      <c r="G44" s="83">
        <f>F44/D44*5</f>
        <v>1</v>
      </c>
      <c r="H44" s="82" t="s">
        <v>308</v>
      </c>
      <c r="I44" s="83">
        <f t="shared" si="1"/>
        <v>1.1599999999999999</v>
      </c>
      <c r="J44" s="82">
        <v>5</v>
      </c>
      <c r="K44" s="95" t="str">
        <f t="shared" si="2"/>
        <v>5ml</v>
      </c>
    </row>
    <row r="45" spans="2:12" x14ac:dyDescent="0.25">
      <c r="B45" s="63">
        <v>62</v>
      </c>
      <c r="C45" s="97" t="s">
        <v>341</v>
      </c>
      <c r="D45" s="82">
        <v>1000</v>
      </c>
      <c r="E45" s="82" t="s">
        <v>244</v>
      </c>
      <c r="F45" s="82">
        <f>5.8*91</f>
        <v>527.79999999999995</v>
      </c>
      <c r="G45" s="83">
        <f>F45/D45</f>
        <v>0.52779999999999994</v>
      </c>
      <c r="H45" s="82" t="s">
        <v>244</v>
      </c>
      <c r="I45" s="83">
        <f t="shared" si="1"/>
        <v>0.6122479999999999</v>
      </c>
      <c r="J45" s="82">
        <v>1</v>
      </c>
      <c r="K45" s="95" t="str">
        <f t="shared" si="2"/>
        <v>1tab</v>
      </c>
    </row>
    <row r="46" spans="2:12" x14ac:dyDescent="0.25">
      <c r="B46" s="63">
        <v>33</v>
      </c>
      <c r="C46" s="67" t="s">
        <v>342</v>
      </c>
      <c r="D46" s="82">
        <v>120</v>
      </c>
      <c r="E46" s="82" t="s">
        <v>308</v>
      </c>
      <c r="F46" s="82">
        <v>9</v>
      </c>
      <c r="G46" s="83">
        <f>F46/D46*5</f>
        <v>0.375</v>
      </c>
      <c r="H46" s="82" t="s">
        <v>308</v>
      </c>
      <c r="I46" s="83">
        <f t="shared" si="1"/>
        <v>0.435</v>
      </c>
      <c r="J46" s="82">
        <v>5</v>
      </c>
      <c r="K46" s="95" t="str">
        <f t="shared" si="2"/>
        <v>5ml</v>
      </c>
    </row>
    <row r="47" spans="2:12" x14ac:dyDescent="0.25">
      <c r="B47" s="63">
        <v>32</v>
      </c>
      <c r="C47" s="67" t="s">
        <v>343</v>
      </c>
      <c r="D47" s="82">
        <v>500</v>
      </c>
      <c r="E47" s="82"/>
      <c r="F47" s="82">
        <v>69</v>
      </c>
      <c r="G47" s="83">
        <f>F47/D47</f>
        <v>0.13800000000000001</v>
      </c>
      <c r="H47" s="82" t="s">
        <v>244</v>
      </c>
      <c r="I47" s="83">
        <f t="shared" si="1"/>
        <v>0.16008</v>
      </c>
      <c r="J47" s="82">
        <v>1</v>
      </c>
      <c r="K47" s="95" t="str">
        <f t="shared" si="2"/>
        <v>1tab</v>
      </c>
    </row>
    <row r="48" spans="2:12" x14ac:dyDescent="0.25">
      <c r="B48" s="63">
        <v>23</v>
      </c>
      <c r="C48" s="67" t="s">
        <v>344</v>
      </c>
      <c r="D48" s="82"/>
      <c r="E48" s="82" t="s">
        <v>244</v>
      </c>
      <c r="F48" s="82"/>
      <c r="G48" s="83">
        <v>3</v>
      </c>
      <c r="H48" s="82" t="s">
        <v>244</v>
      </c>
      <c r="I48" s="83">
        <f t="shared" si="1"/>
        <v>3.48</v>
      </c>
      <c r="J48" s="82">
        <v>1</v>
      </c>
      <c r="K48" s="95" t="str">
        <f t="shared" si="2"/>
        <v>1tab</v>
      </c>
      <c r="L48" s="155"/>
    </row>
    <row r="49" spans="2:11" x14ac:dyDescent="0.25">
      <c r="B49" s="63">
        <v>80</v>
      </c>
      <c r="C49" s="67" t="s">
        <v>345</v>
      </c>
      <c r="D49" s="82">
        <v>20</v>
      </c>
      <c r="E49" s="82" t="s">
        <v>346</v>
      </c>
      <c r="F49" s="82">
        <v>15</v>
      </c>
      <c r="G49" s="83">
        <f>F49/D49</f>
        <v>0.75</v>
      </c>
      <c r="H49" s="82" t="s">
        <v>346</v>
      </c>
      <c r="I49" s="83">
        <f t="shared" si="1"/>
        <v>0.87</v>
      </c>
      <c r="J49" s="82">
        <v>1</v>
      </c>
      <c r="K49" s="95" t="str">
        <f t="shared" si="2"/>
        <v>1gm</v>
      </c>
    </row>
    <row r="50" spans="2:11" x14ac:dyDescent="0.25">
      <c r="B50" s="63">
        <v>34</v>
      </c>
      <c r="C50" s="67" t="s">
        <v>347</v>
      </c>
      <c r="D50" s="82"/>
      <c r="E50" s="82" t="s">
        <v>244</v>
      </c>
      <c r="F50" s="82"/>
      <c r="G50" s="83">
        <v>0.4</v>
      </c>
      <c r="H50" s="82" t="s">
        <v>244</v>
      </c>
      <c r="I50" s="83">
        <f t="shared" si="1"/>
        <v>0.46400000000000002</v>
      </c>
      <c r="J50" s="82">
        <v>1</v>
      </c>
      <c r="K50" s="95" t="str">
        <f t="shared" si="2"/>
        <v>1tab</v>
      </c>
    </row>
    <row r="51" spans="2:11" x14ac:dyDescent="0.25">
      <c r="B51" s="63">
        <v>179</v>
      </c>
      <c r="C51" s="67" t="s">
        <v>348</v>
      </c>
      <c r="D51" s="82"/>
      <c r="E51" s="82"/>
      <c r="F51" s="82"/>
      <c r="G51" s="83">
        <v>0.9</v>
      </c>
      <c r="H51" s="82" t="s">
        <v>308</v>
      </c>
      <c r="I51" s="83">
        <f t="shared" si="1"/>
        <v>1.044</v>
      </c>
      <c r="J51" s="82">
        <v>1</v>
      </c>
      <c r="K51" s="95" t="str">
        <f t="shared" si="2"/>
        <v>1ml</v>
      </c>
    </row>
    <row r="52" spans="2:11" x14ac:dyDescent="0.25">
      <c r="B52" s="63">
        <v>171</v>
      </c>
      <c r="C52" s="67" t="s">
        <v>349</v>
      </c>
      <c r="D52" s="82">
        <v>1000</v>
      </c>
      <c r="E52" s="82" t="s">
        <v>308</v>
      </c>
      <c r="F52" s="82">
        <v>40</v>
      </c>
      <c r="G52" s="83">
        <v>40</v>
      </c>
      <c r="H52" s="82" t="s">
        <v>308</v>
      </c>
      <c r="I52" s="83">
        <f t="shared" si="1"/>
        <v>46.4</v>
      </c>
      <c r="J52" s="82">
        <v>1000</v>
      </c>
      <c r="K52" s="95" t="str">
        <f t="shared" si="2"/>
        <v>1000ml</v>
      </c>
    </row>
    <row r="53" spans="2:11" x14ac:dyDescent="0.25">
      <c r="B53" s="63">
        <v>170</v>
      </c>
      <c r="C53" s="67" t="s">
        <v>350</v>
      </c>
      <c r="D53" s="82">
        <v>500</v>
      </c>
      <c r="E53" s="82" t="s">
        <v>308</v>
      </c>
      <c r="F53" s="82">
        <v>30</v>
      </c>
      <c r="G53" s="83">
        <v>30</v>
      </c>
      <c r="H53" s="82" t="s">
        <v>308</v>
      </c>
      <c r="I53" s="83">
        <f t="shared" si="1"/>
        <v>34.799999999999997</v>
      </c>
      <c r="J53" s="82">
        <v>500</v>
      </c>
      <c r="K53" s="95" t="str">
        <f t="shared" si="2"/>
        <v>500ml</v>
      </c>
    </row>
    <row r="54" spans="2:11" x14ac:dyDescent="0.25">
      <c r="B54" s="63">
        <v>189</v>
      </c>
      <c r="C54" s="67" t="s">
        <v>351</v>
      </c>
      <c r="D54" s="82"/>
      <c r="E54" s="82"/>
      <c r="F54" s="82"/>
      <c r="G54" s="83">
        <v>9</v>
      </c>
      <c r="H54" s="82" t="s">
        <v>308</v>
      </c>
      <c r="I54" s="83">
        <f t="shared" si="1"/>
        <v>10.44</v>
      </c>
      <c r="J54" s="82">
        <v>1</v>
      </c>
      <c r="K54" s="95" t="str">
        <f t="shared" si="2"/>
        <v>1ml</v>
      </c>
    </row>
    <row r="55" spans="2:11" x14ac:dyDescent="0.25">
      <c r="B55" s="63">
        <v>151</v>
      </c>
      <c r="C55" s="67" t="s">
        <v>352</v>
      </c>
      <c r="D55" s="82">
        <v>1000</v>
      </c>
      <c r="E55" s="82" t="s">
        <v>244</v>
      </c>
      <c r="F55" s="82">
        <f>G55*D55</f>
        <v>600</v>
      </c>
      <c r="G55" s="83">
        <v>0.6</v>
      </c>
      <c r="H55" s="82" t="s">
        <v>244</v>
      </c>
      <c r="I55" s="83">
        <f t="shared" si="1"/>
        <v>0.69599999999999995</v>
      </c>
      <c r="J55" s="82">
        <v>1</v>
      </c>
      <c r="K55" s="95" t="str">
        <f t="shared" si="2"/>
        <v>1tab</v>
      </c>
    </row>
    <row r="56" spans="2:11" x14ac:dyDescent="0.25">
      <c r="B56" s="63">
        <v>7</v>
      </c>
      <c r="C56" s="67" t="s">
        <v>353</v>
      </c>
      <c r="D56" s="82">
        <v>1</v>
      </c>
      <c r="E56" s="82" t="s">
        <v>354</v>
      </c>
      <c r="F56" s="82">
        <v>3</v>
      </c>
      <c r="G56" s="83">
        <v>3</v>
      </c>
      <c r="H56" s="82" t="s">
        <v>354</v>
      </c>
      <c r="I56" s="83">
        <f t="shared" si="1"/>
        <v>3.48</v>
      </c>
      <c r="J56" s="82">
        <v>1</v>
      </c>
      <c r="K56" s="95" t="str">
        <f t="shared" si="2"/>
        <v>1amp</v>
      </c>
    </row>
    <row r="57" spans="2:11" x14ac:dyDescent="0.25">
      <c r="B57" s="63">
        <v>8</v>
      </c>
      <c r="C57" s="67" t="s">
        <v>355</v>
      </c>
      <c r="D57" s="82"/>
      <c r="E57" s="82"/>
      <c r="F57" s="82"/>
      <c r="G57" s="83"/>
      <c r="H57" s="82"/>
      <c r="I57" s="83">
        <f t="shared" si="1"/>
        <v>0</v>
      </c>
      <c r="J57" s="82"/>
      <c r="K57" s="95" t="str">
        <f t="shared" si="2"/>
        <v/>
      </c>
    </row>
    <row r="58" spans="2:11" x14ac:dyDescent="0.25">
      <c r="B58" s="63">
        <v>106</v>
      </c>
      <c r="C58" s="67" t="s">
        <v>356</v>
      </c>
      <c r="D58" s="82"/>
      <c r="E58" s="82"/>
      <c r="F58" s="82"/>
      <c r="G58" s="83">
        <v>1.25</v>
      </c>
      <c r="H58" s="82" t="s">
        <v>244</v>
      </c>
      <c r="I58" s="83">
        <f t="shared" si="1"/>
        <v>1.45</v>
      </c>
      <c r="J58" s="82">
        <v>1</v>
      </c>
      <c r="K58" s="95" t="str">
        <f t="shared" si="2"/>
        <v>1tab</v>
      </c>
    </row>
    <row r="59" spans="2:11" x14ac:dyDescent="0.25">
      <c r="B59" s="63">
        <v>29</v>
      </c>
      <c r="C59" s="67" t="s">
        <v>357</v>
      </c>
      <c r="D59" s="82"/>
      <c r="E59" s="82"/>
      <c r="F59" s="82"/>
      <c r="G59" s="83"/>
      <c r="H59" s="82"/>
      <c r="I59" s="83">
        <f t="shared" si="1"/>
        <v>0</v>
      </c>
      <c r="J59" s="82"/>
      <c r="K59" s="95" t="str">
        <f t="shared" si="2"/>
        <v/>
      </c>
    </row>
    <row r="60" spans="2:11" x14ac:dyDescent="0.25">
      <c r="B60" s="63">
        <v>116</v>
      </c>
      <c r="C60" s="67" t="s">
        <v>358</v>
      </c>
      <c r="D60" s="82">
        <v>1</v>
      </c>
      <c r="E60" s="82" t="s">
        <v>308</v>
      </c>
      <c r="F60" s="82">
        <v>2.5</v>
      </c>
      <c r="G60" s="83">
        <f>F60*2</f>
        <v>5</v>
      </c>
      <c r="H60" s="82" t="s">
        <v>308</v>
      </c>
      <c r="I60" s="83">
        <f t="shared" si="1"/>
        <v>5.8</v>
      </c>
      <c r="J60" s="82">
        <v>2</v>
      </c>
      <c r="K60" s="95" t="str">
        <f t="shared" si="2"/>
        <v>2ml</v>
      </c>
    </row>
    <row r="61" spans="2:11" x14ac:dyDescent="0.25">
      <c r="B61" s="63">
        <v>115</v>
      </c>
      <c r="C61" s="67" t="s">
        <v>359</v>
      </c>
      <c r="D61" s="82">
        <v>60</v>
      </c>
      <c r="E61" s="82" t="s">
        <v>308</v>
      </c>
      <c r="F61" s="82">
        <v>12</v>
      </c>
      <c r="G61" s="83">
        <f>F61/D61*4</f>
        <v>0.8</v>
      </c>
      <c r="H61" s="82" t="s">
        <v>308</v>
      </c>
      <c r="I61" s="83">
        <f t="shared" si="1"/>
        <v>0.92800000000000005</v>
      </c>
      <c r="J61" s="82">
        <v>4</v>
      </c>
      <c r="K61" s="95" t="str">
        <f t="shared" si="2"/>
        <v>4ml</v>
      </c>
    </row>
    <row r="62" spans="2:11" x14ac:dyDescent="0.25">
      <c r="B62" s="63">
        <v>114</v>
      </c>
      <c r="C62" s="67" t="s">
        <v>360</v>
      </c>
      <c r="D62" s="82">
        <v>100</v>
      </c>
      <c r="E62" s="82" t="s">
        <v>244</v>
      </c>
      <c r="F62" s="82">
        <v>35</v>
      </c>
      <c r="G62" s="83">
        <f>F62/D62</f>
        <v>0.35</v>
      </c>
      <c r="H62" s="82" t="s">
        <v>244</v>
      </c>
      <c r="I62" s="83">
        <f t="shared" si="1"/>
        <v>0.40599999999999997</v>
      </c>
      <c r="J62" s="82">
        <v>1</v>
      </c>
      <c r="K62" s="95" t="str">
        <f t="shared" si="2"/>
        <v>1tab</v>
      </c>
    </row>
    <row r="63" spans="2:11" x14ac:dyDescent="0.25">
      <c r="B63" s="63">
        <v>100</v>
      </c>
      <c r="C63" s="67" t="s">
        <v>361</v>
      </c>
      <c r="D63" s="82"/>
      <c r="E63" s="82"/>
      <c r="F63" s="82"/>
      <c r="G63" s="83">
        <v>3</v>
      </c>
      <c r="H63" s="82" t="s">
        <v>244</v>
      </c>
      <c r="I63" s="83">
        <f t="shared" si="1"/>
        <v>3.48</v>
      </c>
      <c r="J63" s="82">
        <v>1</v>
      </c>
      <c r="K63" s="95" t="str">
        <f t="shared" si="2"/>
        <v>1tab</v>
      </c>
    </row>
    <row r="64" spans="2:11" x14ac:dyDescent="0.25">
      <c r="B64" s="63">
        <v>17</v>
      </c>
      <c r="C64" s="67" t="s">
        <v>362</v>
      </c>
      <c r="D64" s="82"/>
      <c r="E64" s="82"/>
      <c r="F64" s="82"/>
      <c r="G64" s="83">
        <v>1.2</v>
      </c>
      <c r="H64" s="82" t="s">
        <v>244</v>
      </c>
      <c r="I64" s="83">
        <f t="shared" si="1"/>
        <v>1.3919999999999999</v>
      </c>
      <c r="J64" s="82">
        <v>1</v>
      </c>
      <c r="K64" s="95" t="str">
        <f t="shared" si="2"/>
        <v>1tab</v>
      </c>
    </row>
    <row r="65" spans="2:11" x14ac:dyDescent="0.25">
      <c r="B65" s="63">
        <v>40</v>
      </c>
      <c r="C65" s="67" t="s">
        <v>363</v>
      </c>
      <c r="D65" s="82"/>
      <c r="E65" s="82"/>
      <c r="F65" s="82"/>
      <c r="G65" s="83"/>
      <c r="H65" s="82"/>
      <c r="I65" s="83">
        <f t="shared" si="1"/>
        <v>0</v>
      </c>
      <c r="J65" s="82"/>
      <c r="K65" s="95" t="str">
        <f t="shared" si="2"/>
        <v/>
      </c>
    </row>
    <row r="66" spans="2:11" x14ac:dyDescent="0.25">
      <c r="B66" s="63">
        <v>20</v>
      </c>
      <c r="C66" s="67" t="s">
        <v>364</v>
      </c>
      <c r="D66" s="82"/>
      <c r="E66" s="82"/>
      <c r="F66" s="82"/>
      <c r="G66" s="83">
        <f>1.5*5</f>
        <v>7.5</v>
      </c>
      <c r="H66" s="82" t="s">
        <v>321</v>
      </c>
      <c r="I66" s="83">
        <f t="shared" si="1"/>
        <v>8.6999999999999993</v>
      </c>
      <c r="J66" s="82">
        <v>1</v>
      </c>
      <c r="K66" s="95" t="str">
        <f t="shared" si="2"/>
        <v>1inj</v>
      </c>
    </row>
    <row r="67" spans="2:11" x14ac:dyDescent="0.25">
      <c r="B67" s="63">
        <v>19</v>
      </c>
      <c r="C67" s="67" t="s">
        <v>365</v>
      </c>
      <c r="D67" s="82"/>
      <c r="E67" s="82"/>
      <c r="F67" s="82"/>
      <c r="G67" s="83">
        <v>2.4</v>
      </c>
      <c r="H67" s="82" t="s">
        <v>244</v>
      </c>
      <c r="I67" s="83">
        <f t="shared" si="1"/>
        <v>2.7839999999999998</v>
      </c>
      <c r="J67" s="82">
        <v>1</v>
      </c>
      <c r="K67" s="95" t="str">
        <f t="shared" si="2"/>
        <v>1tab</v>
      </c>
    </row>
    <row r="68" spans="2:11" x14ac:dyDescent="0.25">
      <c r="B68" s="63">
        <v>69</v>
      </c>
      <c r="C68" s="67" t="s">
        <v>366</v>
      </c>
      <c r="D68" s="82"/>
      <c r="E68" s="82" t="s">
        <v>244</v>
      </c>
      <c r="F68" s="82"/>
      <c r="G68" s="83">
        <v>3</v>
      </c>
      <c r="H68" s="82" t="s">
        <v>244</v>
      </c>
      <c r="I68" s="83">
        <f t="shared" si="1"/>
        <v>3.48</v>
      </c>
      <c r="J68" s="82">
        <v>1</v>
      </c>
      <c r="K68" s="95" t="str">
        <f t="shared" si="2"/>
        <v>1tab</v>
      </c>
    </row>
    <row r="69" spans="2:11" x14ac:dyDescent="0.25">
      <c r="B69" s="63">
        <v>86</v>
      </c>
      <c r="C69" s="67" t="s">
        <v>367</v>
      </c>
      <c r="D69" s="82">
        <v>120</v>
      </c>
      <c r="E69" s="82" t="s">
        <v>308</v>
      </c>
      <c r="F69" s="82">
        <v>18</v>
      </c>
      <c r="G69" s="83">
        <f>F69/D69*5</f>
        <v>0.75</v>
      </c>
      <c r="H69" s="82" t="s">
        <v>308</v>
      </c>
      <c r="I69" s="83">
        <f t="shared" si="1"/>
        <v>0.87</v>
      </c>
      <c r="J69" s="82">
        <v>5</v>
      </c>
      <c r="K69" s="95" t="str">
        <f t="shared" si="2"/>
        <v>5ml</v>
      </c>
    </row>
    <row r="70" spans="2:11" ht="30" x14ac:dyDescent="0.25">
      <c r="B70" s="63">
        <v>84</v>
      </c>
      <c r="C70" s="97" t="s">
        <v>299</v>
      </c>
      <c r="D70" s="82"/>
      <c r="E70" s="82"/>
      <c r="F70" s="82"/>
      <c r="G70" s="83">
        <v>1.6</v>
      </c>
      <c r="H70" s="82" t="s">
        <v>245</v>
      </c>
      <c r="I70" s="83">
        <f t="shared" si="1"/>
        <v>1.8560000000000001</v>
      </c>
      <c r="J70" s="82">
        <v>1</v>
      </c>
      <c r="K70" s="95" t="str">
        <f t="shared" si="2"/>
        <v>1capsule</v>
      </c>
    </row>
    <row r="71" spans="2:11" x14ac:dyDescent="0.25">
      <c r="B71" s="63">
        <v>150</v>
      </c>
      <c r="C71" s="67" t="s">
        <v>368</v>
      </c>
      <c r="D71" s="82"/>
      <c r="E71" s="82"/>
      <c r="F71" s="82"/>
      <c r="G71" s="83">
        <v>0.8</v>
      </c>
      <c r="H71" s="82" t="s">
        <v>369</v>
      </c>
      <c r="I71" s="83">
        <f t="shared" si="1"/>
        <v>0.92800000000000005</v>
      </c>
      <c r="J71" s="82">
        <v>1</v>
      </c>
      <c r="K71" s="95" t="str">
        <f t="shared" si="2"/>
        <v>1cap</v>
      </c>
    </row>
    <row r="72" spans="2:11" x14ac:dyDescent="0.25">
      <c r="B72" s="63">
        <v>85</v>
      </c>
      <c r="C72" s="67" t="s">
        <v>370</v>
      </c>
      <c r="D72" s="82">
        <v>500</v>
      </c>
      <c r="E72" s="82" t="s">
        <v>244</v>
      </c>
      <c r="F72" s="82">
        <v>55</v>
      </c>
      <c r="G72" s="83">
        <f>F72/D72</f>
        <v>0.11</v>
      </c>
      <c r="H72" s="82" t="s">
        <v>244</v>
      </c>
      <c r="I72" s="83">
        <f t="shared" si="1"/>
        <v>0.12759999999999999</v>
      </c>
      <c r="J72" s="82">
        <v>1</v>
      </c>
      <c r="K72" s="95" t="str">
        <f t="shared" si="2"/>
        <v>1tab</v>
      </c>
    </row>
    <row r="73" spans="2:11" x14ac:dyDescent="0.25">
      <c r="B73" s="63">
        <v>96</v>
      </c>
      <c r="C73" s="67" t="s">
        <v>371</v>
      </c>
      <c r="D73" s="82">
        <v>2</v>
      </c>
      <c r="E73" s="82" t="s">
        <v>308</v>
      </c>
      <c r="F73" s="82">
        <f>2*4.42</f>
        <v>8.84</v>
      </c>
      <c r="G73" s="83">
        <f>F73/D73</f>
        <v>4.42</v>
      </c>
      <c r="H73" s="82" t="s">
        <v>308</v>
      </c>
      <c r="I73" s="83">
        <f t="shared" si="1"/>
        <v>5.1272000000000002</v>
      </c>
      <c r="J73" s="82">
        <v>1</v>
      </c>
      <c r="K73" s="95" t="str">
        <f t="shared" si="2"/>
        <v>1ml</v>
      </c>
    </row>
    <row r="74" spans="2:11" x14ac:dyDescent="0.25">
      <c r="B74" s="63">
        <v>95</v>
      </c>
      <c r="C74" s="67" t="s">
        <v>372</v>
      </c>
      <c r="D74" s="82"/>
      <c r="E74" s="82"/>
      <c r="F74" s="82"/>
      <c r="G74" s="83">
        <v>0.41</v>
      </c>
      <c r="H74" s="82" t="s">
        <v>244</v>
      </c>
      <c r="I74" s="83">
        <f t="shared" si="1"/>
        <v>0.47559999999999997</v>
      </c>
      <c r="J74" s="82">
        <v>1</v>
      </c>
      <c r="K74" s="95" t="str">
        <f t="shared" ref="K74:K99" si="3">J74&amp;H74</f>
        <v>1tab</v>
      </c>
    </row>
    <row r="75" spans="2:11" x14ac:dyDescent="0.25">
      <c r="B75" s="63">
        <v>166</v>
      </c>
      <c r="C75" s="67" t="s">
        <v>373</v>
      </c>
      <c r="D75" s="82">
        <v>30</v>
      </c>
      <c r="E75" s="82" t="s">
        <v>308</v>
      </c>
      <c r="F75" s="82">
        <v>15</v>
      </c>
      <c r="G75" s="83">
        <f>F75/D75*5</f>
        <v>2.5</v>
      </c>
      <c r="H75" s="82" t="s">
        <v>308</v>
      </c>
      <c r="I75" s="83">
        <f t="shared" ref="I75:I139" si="4">((SUM($G$2:$G$4)*G75)+G75)</f>
        <v>2.9</v>
      </c>
      <c r="J75" s="82">
        <v>5</v>
      </c>
      <c r="K75" s="95" t="str">
        <f t="shared" si="3"/>
        <v>5ml</v>
      </c>
    </row>
    <row r="76" spans="2:11" x14ac:dyDescent="0.25">
      <c r="B76" s="63">
        <v>126</v>
      </c>
      <c r="C76" s="67" t="s">
        <v>374</v>
      </c>
      <c r="D76" s="82">
        <v>60</v>
      </c>
      <c r="E76" s="82" t="s">
        <v>244</v>
      </c>
      <c r="F76" s="82">
        <v>15</v>
      </c>
      <c r="G76" s="83">
        <f>F76/D76</f>
        <v>0.25</v>
      </c>
      <c r="H76" s="82" t="s">
        <v>244</v>
      </c>
      <c r="I76" s="83">
        <f t="shared" si="4"/>
        <v>0.28999999999999998</v>
      </c>
      <c r="J76" s="82">
        <v>1</v>
      </c>
      <c r="K76" s="95" t="str">
        <f t="shared" si="3"/>
        <v>1tab</v>
      </c>
    </row>
    <row r="77" spans="2:11" ht="30" x14ac:dyDescent="0.25">
      <c r="B77" s="63">
        <v>173</v>
      </c>
      <c r="C77" s="97" t="s">
        <v>375</v>
      </c>
      <c r="D77" s="82"/>
      <c r="E77" s="82"/>
      <c r="F77" s="82"/>
      <c r="G77" s="83"/>
      <c r="H77" s="82"/>
      <c r="I77" s="83">
        <f t="shared" si="4"/>
        <v>0</v>
      </c>
      <c r="J77" s="82"/>
      <c r="K77" s="95" t="str">
        <f t="shared" si="3"/>
        <v/>
      </c>
    </row>
    <row r="78" spans="2:11" ht="30" x14ac:dyDescent="0.25">
      <c r="B78" s="63">
        <v>172</v>
      </c>
      <c r="C78" s="97" t="s">
        <v>376</v>
      </c>
      <c r="D78" s="82"/>
      <c r="E78" s="82"/>
      <c r="F78" s="82"/>
      <c r="G78" s="83"/>
      <c r="H78" s="82"/>
      <c r="I78" s="83">
        <f t="shared" si="4"/>
        <v>0</v>
      </c>
      <c r="J78" s="82"/>
      <c r="K78" s="95" t="str">
        <f t="shared" si="3"/>
        <v/>
      </c>
    </row>
    <row r="79" spans="2:11" x14ac:dyDescent="0.25">
      <c r="B79" s="63">
        <v>123</v>
      </c>
      <c r="C79" s="67" t="s">
        <v>377</v>
      </c>
      <c r="D79" s="82"/>
      <c r="E79" s="82"/>
      <c r="F79" s="82"/>
      <c r="G79" s="83">
        <v>82</v>
      </c>
      <c r="H79" s="82"/>
      <c r="I79" s="83">
        <f t="shared" si="4"/>
        <v>95.12</v>
      </c>
      <c r="J79" s="82"/>
      <c r="K79" s="95" t="str">
        <f t="shared" si="3"/>
        <v/>
      </c>
    </row>
    <row r="80" spans="2:11" x14ac:dyDescent="0.25">
      <c r="B80" s="63">
        <v>101</v>
      </c>
      <c r="C80" s="67" t="s">
        <v>378</v>
      </c>
      <c r="D80" s="82"/>
      <c r="E80" s="82"/>
      <c r="F80" s="82"/>
      <c r="G80" s="83">
        <v>2</v>
      </c>
      <c r="H80" s="82" t="s">
        <v>244</v>
      </c>
      <c r="I80" s="83">
        <f t="shared" si="4"/>
        <v>2.3199999999999998</v>
      </c>
      <c r="J80" s="82">
        <v>1</v>
      </c>
      <c r="K80" s="95" t="str">
        <f t="shared" si="3"/>
        <v>1tab</v>
      </c>
    </row>
    <row r="81" spans="2:11" x14ac:dyDescent="0.25">
      <c r="B81" s="63">
        <v>81</v>
      </c>
      <c r="C81" s="67" t="s">
        <v>379</v>
      </c>
      <c r="D81" s="82">
        <v>1000</v>
      </c>
      <c r="E81" s="82" t="s">
        <v>244</v>
      </c>
      <c r="F81" s="82">
        <v>1203</v>
      </c>
      <c r="G81" s="83">
        <f>F81/D81</f>
        <v>1.2030000000000001</v>
      </c>
      <c r="H81" s="82" t="s">
        <v>244</v>
      </c>
      <c r="I81" s="83">
        <f t="shared" si="4"/>
        <v>1.3954800000000001</v>
      </c>
      <c r="J81" s="82">
        <v>1</v>
      </c>
      <c r="K81" s="95" t="str">
        <f t="shared" si="3"/>
        <v>1tab</v>
      </c>
    </row>
    <row r="82" spans="2:11" x14ac:dyDescent="0.25">
      <c r="B82" s="63">
        <v>178</v>
      </c>
      <c r="C82" s="67" t="s">
        <v>380</v>
      </c>
      <c r="D82" s="82"/>
      <c r="E82" s="82"/>
      <c r="F82" s="82"/>
      <c r="G82" s="83"/>
      <c r="H82" s="82"/>
      <c r="I82" s="83">
        <f t="shared" si="4"/>
        <v>0</v>
      </c>
      <c r="J82" s="82"/>
      <c r="K82" s="95" t="str">
        <f t="shared" si="3"/>
        <v/>
      </c>
    </row>
    <row r="83" spans="2:11" x14ac:dyDescent="0.25">
      <c r="B83" s="63">
        <v>196</v>
      </c>
      <c r="C83" s="67" t="s">
        <v>17</v>
      </c>
      <c r="D83" s="82"/>
      <c r="E83" s="82"/>
      <c r="F83" s="82"/>
      <c r="G83" s="83">
        <f>0.4*91</f>
        <v>36.4</v>
      </c>
      <c r="H83" s="82" t="s">
        <v>300</v>
      </c>
      <c r="I83" s="83">
        <f t="shared" si="4"/>
        <v>42.223999999999997</v>
      </c>
      <c r="J83" s="82">
        <v>1</v>
      </c>
      <c r="K83" s="95" t="str">
        <f t="shared" si="3"/>
        <v>1dose</v>
      </c>
    </row>
    <row r="84" spans="2:11" x14ac:dyDescent="0.25">
      <c r="B84" s="63">
        <v>97</v>
      </c>
      <c r="C84" s="67" t="s">
        <v>381</v>
      </c>
      <c r="D84" s="82">
        <v>1000</v>
      </c>
      <c r="E84" s="82" t="s">
        <v>244</v>
      </c>
      <c r="F84" s="82">
        <f>3.35*91</f>
        <v>304.85000000000002</v>
      </c>
      <c r="G84" s="83">
        <f>F84/D84</f>
        <v>0.30485000000000001</v>
      </c>
      <c r="H84" s="82" t="s">
        <v>244</v>
      </c>
      <c r="I84" s="83">
        <f t="shared" si="4"/>
        <v>0.353626</v>
      </c>
      <c r="J84" s="82">
        <v>1</v>
      </c>
      <c r="K84" s="95" t="str">
        <f t="shared" si="3"/>
        <v>1tab</v>
      </c>
    </row>
    <row r="85" spans="2:11" x14ac:dyDescent="0.25">
      <c r="B85" s="63">
        <v>35</v>
      </c>
      <c r="C85" s="97" t="s">
        <v>382</v>
      </c>
      <c r="D85" s="82"/>
      <c r="E85" s="82" t="s">
        <v>246</v>
      </c>
      <c r="F85" s="82"/>
      <c r="G85" s="83">
        <v>59</v>
      </c>
      <c r="H85" s="82"/>
      <c r="I85" s="83">
        <f t="shared" si="4"/>
        <v>68.44</v>
      </c>
      <c r="J85" s="82"/>
      <c r="K85" s="95" t="str">
        <f t="shared" si="3"/>
        <v/>
      </c>
    </row>
    <row r="86" spans="2:11" ht="30" x14ac:dyDescent="0.25">
      <c r="B86" s="63">
        <v>36</v>
      </c>
      <c r="C86" s="97" t="s">
        <v>383</v>
      </c>
      <c r="D86" s="82"/>
      <c r="E86" s="82" t="s">
        <v>246</v>
      </c>
      <c r="F86" s="82"/>
      <c r="G86" s="83">
        <v>30</v>
      </c>
      <c r="H86" s="82"/>
      <c r="I86" s="83">
        <f t="shared" si="4"/>
        <v>34.799999999999997</v>
      </c>
      <c r="J86" s="82"/>
      <c r="K86" s="95" t="str">
        <f t="shared" si="3"/>
        <v/>
      </c>
    </row>
    <row r="87" spans="2:11" x14ac:dyDescent="0.25">
      <c r="B87" s="63">
        <v>165</v>
      </c>
      <c r="C87" s="67" t="s">
        <v>384</v>
      </c>
      <c r="D87" s="82">
        <v>450</v>
      </c>
      <c r="E87" s="82" t="s">
        <v>308</v>
      </c>
      <c r="F87" s="82">
        <v>30</v>
      </c>
      <c r="G87" s="83">
        <f>F87/D87*5</f>
        <v>0.33333333333333331</v>
      </c>
      <c r="H87" s="82" t="s">
        <v>308</v>
      </c>
      <c r="I87" s="83">
        <f t="shared" si="4"/>
        <v>0.38666666666666666</v>
      </c>
      <c r="J87" s="82">
        <v>5</v>
      </c>
      <c r="K87" s="95" t="str">
        <f t="shared" si="3"/>
        <v>5ml</v>
      </c>
    </row>
    <row r="88" spans="2:11" x14ac:dyDescent="0.25">
      <c r="B88" s="63">
        <v>119</v>
      </c>
      <c r="C88" s="67" t="s">
        <v>385</v>
      </c>
      <c r="D88" s="82"/>
      <c r="E88" s="82"/>
      <c r="F88" s="82"/>
      <c r="G88" s="83">
        <f>0.1034*91</f>
        <v>9.4093999999999998</v>
      </c>
      <c r="H88" s="82" t="s">
        <v>308</v>
      </c>
      <c r="I88" s="83">
        <f t="shared" si="4"/>
        <v>10.914904</v>
      </c>
      <c r="J88" s="82">
        <v>1</v>
      </c>
      <c r="K88" s="95" t="str">
        <f t="shared" si="3"/>
        <v>1ml</v>
      </c>
    </row>
    <row r="89" spans="2:11" x14ac:dyDescent="0.25">
      <c r="B89" s="63">
        <v>118</v>
      </c>
      <c r="C89" s="67" t="s">
        <v>386</v>
      </c>
      <c r="D89" s="82">
        <v>1000</v>
      </c>
      <c r="E89" s="82" t="s">
        <v>244</v>
      </c>
      <c r="F89" s="82">
        <f>15.45*91</f>
        <v>1405.95</v>
      </c>
      <c r="G89" s="83">
        <f>F89/D89</f>
        <v>1.40595</v>
      </c>
      <c r="H89" s="82" t="s">
        <v>244</v>
      </c>
      <c r="I89" s="83">
        <f t="shared" si="4"/>
        <v>1.6309020000000001</v>
      </c>
      <c r="J89" s="82">
        <v>1</v>
      </c>
      <c r="K89" s="95" t="str">
        <f t="shared" si="3"/>
        <v>1tab</v>
      </c>
    </row>
    <row r="90" spans="2:11" x14ac:dyDescent="0.25">
      <c r="B90" s="63">
        <v>6</v>
      </c>
      <c r="C90" s="67" t="s">
        <v>22</v>
      </c>
      <c r="D90" s="82">
        <v>90</v>
      </c>
      <c r="E90" s="82" t="s">
        <v>308</v>
      </c>
      <c r="F90" s="82">
        <v>15</v>
      </c>
      <c r="G90" s="83">
        <f>F90/D90*5</f>
        <v>0.83333333333333326</v>
      </c>
      <c r="H90" s="82" t="s">
        <v>308</v>
      </c>
      <c r="I90" s="83">
        <f t="shared" si="4"/>
        <v>0.96666666666666656</v>
      </c>
      <c r="J90" s="82">
        <v>5</v>
      </c>
      <c r="K90" s="95" t="str">
        <f t="shared" si="3"/>
        <v>5ml</v>
      </c>
    </row>
    <row r="91" spans="2:11" x14ac:dyDescent="0.25">
      <c r="B91" s="63">
        <v>5</v>
      </c>
      <c r="C91" s="67" t="s">
        <v>146</v>
      </c>
      <c r="D91" s="82">
        <v>10</v>
      </c>
      <c r="E91" s="96" t="s">
        <v>244</v>
      </c>
      <c r="F91" s="82">
        <f>D91*0.8</f>
        <v>8</v>
      </c>
      <c r="G91" s="83">
        <v>0.8</v>
      </c>
      <c r="H91" s="82" t="s">
        <v>244</v>
      </c>
      <c r="I91" s="83">
        <f t="shared" si="4"/>
        <v>0.92800000000000005</v>
      </c>
      <c r="J91" s="82">
        <v>1</v>
      </c>
      <c r="K91" s="95" t="str">
        <f t="shared" si="3"/>
        <v>1tab</v>
      </c>
    </row>
    <row r="92" spans="2:11" x14ac:dyDescent="0.25">
      <c r="B92" s="63">
        <v>129</v>
      </c>
      <c r="C92" s="67" t="s">
        <v>387</v>
      </c>
      <c r="D92" s="82"/>
      <c r="E92" s="82"/>
      <c r="F92" s="82"/>
      <c r="G92" s="83">
        <v>254</v>
      </c>
      <c r="H92" s="82" t="s">
        <v>246</v>
      </c>
      <c r="I92" s="83">
        <f t="shared" si="4"/>
        <v>294.64</v>
      </c>
      <c r="J92" s="82">
        <v>1</v>
      </c>
      <c r="K92" s="95" t="str">
        <f t="shared" si="3"/>
        <v>1vial</v>
      </c>
    </row>
    <row r="93" spans="2:11" x14ac:dyDescent="0.25">
      <c r="B93" s="63">
        <v>128</v>
      </c>
      <c r="C93" s="67" t="s">
        <v>388</v>
      </c>
      <c r="D93" s="82"/>
      <c r="E93" s="82"/>
      <c r="F93" s="82"/>
      <c r="G93" s="83">
        <v>254</v>
      </c>
      <c r="H93" s="82" t="s">
        <v>246</v>
      </c>
      <c r="I93" s="83">
        <f t="shared" si="4"/>
        <v>294.64</v>
      </c>
      <c r="J93" s="82">
        <v>1</v>
      </c>
      <c r="K93" s="95" t="str">
        <f t="shared" si="3"/>
        <v>1vial</v>
      </c>
    </row>
    <row r="94" spans="2:11" x14ac:dyDescent="0.25">
      <c r="B94" s="63">
        <v>72</v>
      </c>
      <c r="C94" s="67" t="s">
        <v>389</v>
      </c>
      <c r="D94" s="82"/>
      <c r="E94" s="82" t="s">
        <v>244</v>
      </c>
      <c r="F94" s="82"/>
      <c r="G94" s="83">
        <v>3.25</v>
      </c>
      <c r="H94" s="82" t="s">
        <v>244</v>
      </c>
      <c r="I94" s="83">
        <f t="shared" si="4"/>
        <v>3.77</v>
      </c>
      <c r="J94" s="82">
        <v>1</v>
      </c>
      <c r="K94" s="95" t="str">
        <f t="shared" si="3"/>
        <v>1tab</v>
      </c>
    </row>
    <row r="95" spans="2:11" x14ac:dyDescent="0.25">
      <c r="B95" s="63">
        <v>75</v>
      </c>
      <c r="C95" s="67" t="s">
        <v>390</v>
      </c>
      <c r="D95" s="82">
        <v>1000</v>
      </c>
      <c r="E95" s="82" t="s">
        <v>244</v>
      </c>
      <c r="F95" s="82">
        <f>G95*D95</f>
        <v>1500</v>
      </c>
      <c r="G95" s="83">
        <v>1.5</v>
      </c>
      <c r="H95" s="82" t="s">
        <v>244</v>
      </c>
      <c r="I95" s="83">
        <f t="shared" si="4"/>
        <v>1.74</v>
      </c>
      <c r="J95" s="82">
        <v>1</v>
      </c>
      <c r="K95" s="95" t="str">
        <f t="shared" si="3"/>
        <v>1tab</v>
      </c>
    </row>
    <row r="96" spans="2:11" x14ac:dyDescent="0.25">
      <c r="B96" s="63">
        <v>104</v>
      </c>
      <c r="C96" s="67" t="s">
        <v>391</v>
      </c>
      <c r="D96" s="82">
        <v>10</v>
      </c>
      <c r="E96" s="82" t="s">
        <v>308</v>
      </c>
      <c r="F96" s="82"/>
      <c r="G96" s="83">
        <v>110</v>
      </c>
      <c r="H96" s="82" t="s">
        <v>308</v>
      </c>
      <c r="I96" s="83">
        <f t="shared" si="4"/>
        <v>127.6</v>
      </c>
      <c r="J96" s="82">
        <v>10</v>
      </c>
      <c r="K96" s="95" t="str">
        <f t="shared" si="3"/>
        <v>10ml</v>
      </c>
    </row>
    <row r="97" spans="2:11" x14ac:dyDescent="0.25">
      <c r="B97" s="63">
        <v>124</v>
      </c>
      <c r="C97" s="67" t="s">
        <v>11</v>
      </c>
      <c r="D97" s="82"/>
      <c r="E97" s="82"/>
      <c r="F97" s="82"/>
      <c r="G97" s="83"/>
      <c r="H97" s="82"/>
      <c r="I97" s="83">
        <f t="shared" si="4"/>
        <v>0</v>
      </c>
      <c r="J97" s="82"/>
      <c r="K97" s="95" t="str">
        <f t="shared" si="3"/>
        <v/>
      </c>
    </row>
    <row r="98" spans="2:11" x14ac:dyDescent="0.25">
      <c r="B98" s="63">
        <v>111</v>
      </c>
      <c r="C98" s="67" t="s">
        <v>392</v>
      </c>
      <c r="D98" s="82"/>
      <c r="E98" s="82"/>
      <c r="F98" s="82"/>
      <c r="G98" s="83"/>
      <c r="H98" s="82"/>
      <c r="I98" s="83">
        <f t="shared" si="4"/>
        <v>0</v>
      </c>
      <c r="J98" s="82"/>
      <c r="K98" s="95" t="str">
        <f t="shared" si="3"/>
        <v/>
      </c>
    </row>
    <row r="99" spans="2:11" x14ac:dyDescent="0.25">
      <c r="B99" s="63">
        <v>49</v>
      </c>
      <c r="C99" s="67" t="s">
        <v>393</v>
      </c>
      <c r="D99" s="82"/>
      <c r="E99" s="82"/>
      <c r="F99" s="82"/>
      <c r="G99" s="83"/>
      <c r="H99" s="82"/>
      <c r="I99" s="83">
        <f t="shared" si="4"/>
        <v>0</v>
      </c>
      <c r="J99" s="82"/>
      <c r="K99" s="95" t="str">
        <f t="shared" si="3"/>
        <v/>
      </c>
    </row>
    <row r="100" spans="2:11" x14ac:dyDescent="0.25">
      <c r="B100" s="63">
        <v>51</v>
      </c>
      <c r="C100" s="67" t="s">
        <v>394</v>
      </c>
      <c r="D100" s="82"/>
      <c r="E100" s="82"/>
      <c r="F100" s="82"/>
      <c r="G100" s="83">
        <v>5</v>
      </c>
      <c r="H100" s="82"/>
      <c r="I100" s="83">
        <f t="shared" si="4"/>
        <v>5.8</v>
      </c>
      <c r="J100" s="82"/>
      <c r="K100" s="98" t="s">
        <v>528</v>
      </c>
    </row>
    <row r="101" spans="2:11" x14ac:dyDescent="0.25">
      <c r="B101" s="63">
        <v>185</v>
      </c>
      <c r="C101" s="67" t="s">
        <v>395</v>
      </c>
      <c r="D101" s="82">
        <v>10</v>
      </c>
      <c r="E101" s="82" t="s">
        <v>308</v>
      </c>
      <c r="F101" s="82">
        <v>8</v>
      </c>
      <c r="G101" s="83">
        <f>F101/D101</f>
        <v>0.8</v>
      </c>
      <c r="H101" s="82" t="s">
        <v>308</v>
      </c>
      <c r="I101" s="83">
        <f t="shared" si="4"/>
        <v>0.92800000000000005</v>
      </c>
      <c r="J101" s="82">
        <v>1</v>
      </c>
      <c r="K101" s="95" t="str">
        <f t="shared" ref="K101:K126" si="5">J101&amp;H101</f>
        <v>1ml</v>
      </c>
    </row>
    <row r="102" spans="2:11" x14ac:dyDescent="0.25">
      <c r="B102" s="63">
        <v>186</v>
      </c>
      <c r="C102" s="67" t="s">
        <v>396</v>
      </c>
      <c r="D102" s="82">
        <v>50</v>
      </c>
      <c r="E102" s="82" t="s">
        <v>246</v>
      </c>
      <c r="F102" s="82">
        <v>700</v>
      </c>
      <c r="G102" s="83">
        <f>F102/D102</f>
        <v>14</v>
      </c>
      <c r="H102" s="82" t="s">
        <v>246</v>
      </c>
      <c r="I102" s="83">
        <f t="shared" si="4"/>
        <v>16.240000000000002</v>
      </c>
      <c r="J102" s="82">
        <v>1</v>
      </c>
      <c r="K102" s="95" t="str">
        <f t="shared" si="5"/>
        <v>1vial</v>
      </c>
    </row>
    <row r="103" spans="2:11" x14ac:dyDescent="0.25">
      <c r="B103" s="63">
        <v>93</v>
      </c>
      <c r="C103" s="67" t="s">
        <v>397</v>
      </c>
      <c r="D103" s="82">
        <v>50</v>
      </c>
      <c r="E103" s="82" t="s">
        <v>308</v>
      </c>
      <c r="F103" s="82">
        <v>90</v>
      </c>
      <c r="G103" s="83">
        <f>F103/D103</f>
        <v>1.8</v>
      </c>
      <c r="H103" s="82" t="s">
        <v>308</v>
      </c>
      <c r="I103" s="83">
        <f t="shared" si="4"/>
        <v>2.0880000000000001</v>
      </c>
      <c r="J103" s="82">
        <v>1</v>
      </c>
      <c r="K103" s="95" t="str">
        <f t="shared" si="5"/>
        <v>1ml</v>
      </c>
    </row>
    <row r="104" spans="2:11" x14ac:dyDescent="0.25">
      <c r="B104" s="63">
        <v>195</v>
      </c>
      <c r="C104" s="67" t="s">
        <v>16</v>
      </c>
      <c r="D104" s="82"/>
      <c r="E104" s="82"/>
      <c r="F104" s="82"/>
      <c r="G104" s="83">
        <f>0.3*91</f>
        <v>27.3</v>
      </c>
      <c r="H104" s="82" t="s">
        <v>300</v>
      </c>
      <c r="I104" s="83">
        <f t="shared" si="4"/>
        <v>31.667999999999999</v>
      </c>
      <c r="J104" s="82">
        <v>1</v>
      </c>
      <c r="K104" s="95" t="str">
        <f t="shared" si="5"/>
        <v>1dose</v>
      </c>
    </row>
    <row r="105" spans="2:11" x14ac:dyDescent="0.25">
      <c r="B105" s="63">
        <v>59</v>
      </c>
      <c r="C105" s="67" t="s">
        <v>398</v>
      </c>
      <c r="D105" s="82">
        <v>1000</v>
      </c>
      <c r="E105" s="82" t="s">
        <v>244</v>
      </c>
      <c r="F105" s="82">
        <v>151</v>
      </c>
      <c r="G105" s="83">
        <f>F105/D105</f>
        <v>0.151</v>
      </c>
      <c r="H105" s="82" t="s">
        <v>244</v>
      </c>
      <c r="I105" s="83">
        <f t="shared" si="4"/>
        <v>0.17515999999999998</v>
      </c>
      <c r="J105" s="82">
        <v>1</v>
      </c>
      <c r="K105" s="95" t="str">
        <f t="shared" si="5"/>
        <v>1tab</v>
      </c>
    </row>
    <row r="106" spans="2:11" x14ac:dyDescent="0.25">
      <c r="B106" s="63">
        <v>58</v>
      </c>
      <c r="C106" s="67" t="s">
        <v>399</v>
      </c>
      <c r="D106" s="82">
        <v>1000</v>
      </c>
      <c r="E106" s="82" t="s">
        <v>244</v>
      </c>
      <c r="F106" s="82">
        <v>342</v>
      </c>
      <c r="G106" s="83">
        <f>F106/D106</f>
        <v>0.34200000000000003</v>
      </c>
      <c r="H106" s="82" t="s">
        <v>244</v>
      </c>
      <c r="I106" s="83">
        <f t="shared" si="4"/>
        <v>0.39672000000000002</v>
      </c>
      <c r="J106" s="82">
        <v>1</v>
      </c>
      <c r="K106" s="95" t="str">
        <f t="shared" si="5"/>
        <v>1tab</v>
      </c>
    </row>
    <row r="107" spans="2:11" x14ac:dyDescent="0.25">
      <c r="B107" s="63">
        <v>47</v>
      </c>
      <c r="C107" s="67" t="s">
        <v>400</v>
      </c>
      <c r="D107" s="82"/>
      <c r="E107" s="82" t="s">
        <v>246</v>
      </c>
      <c r="F107" s="82"/>
      <c r="G107" s="83">
        <v>7</v>
      </c>
      <c r="H107" s="82" t="s">
        <v>321</v>
      </c>
      <c r="I107" s="83">
        <f t="shared" si="4"/>
        <v>8.120000000000001</v>
      </c>
      <c r="J107" s="82">
        <v>1</v>
      </c>
      <c r="K107" s="95" t="str">
        <f t="shared" si="5"/>
        <v>1inj</v>
      </c>
    </row>
    <row r="108" spans="2:11" x14ac:dyDescent="0.25">
      <c r="B108" s="63">
        <v>44</v>
      </c>
      <c r="C108" s="67" t="s">
        <v>401</v>
      </c>
      <c r="D108" s="82"/>
      <c r="E108" s="82"/>
      <c r="F108" s="82"/>
      <c r="G108" s="83"/>
      <c r="H108" s="82"/>
      <c r="I108" s="83">
        <f t="shared" si="4"/>
        <v>0</v>
      </c>
      <c r="J108" s="82"/>
      <c r="K108" s="95" t="str">
        <f t="shared" si="5"/>
        <v/>
      </c>
    </row>
    <row r="109" spans="2:11" x14ac:dyDescent="0.25">
      <c r="B109" s="63">
        <v>127</v>
      </c>
      <c r="C109" s="67" t="s">
        <v>402</v>
      </c>
      <c r="D109" s="82"/>
      <c r="E109" s="82"/>
      <c r="F109" s="82"/>
      <c r="G109" s="83">
        <v>0.4</v>
      </c>
      <c r="H109" s="82" t="s">
        <v>244</v>
      </c>
      <c r="I109" s="83">
        <f t="shared" si="4"/>
        <v>0.46400000000000002</v>
      </c>
      <c r="J109" s="82">
        <v>1</v>
      </c>
      <c r="K109" s="95" t="str">
        <f t="shared" si="5"/>
        <v>1tab</v>
      </c>
    </row>
    <row r="110" spans="2:11" x14ac:dyDescent="0.25">
      <c r="B110" s="63">
        <v>105</v>
      </c>
      <c r="C110" s="67" t="s">
        <v>403</v>
      </c>
      <c r="D110" s="82"/>
      <c r="E110" s="82"/>
      <c r="F110" s="82"/>
      <c r="G110" s="83">
        <v>3</v>
      </c>
      <c r="H110" s="82" t="s">
        <v>244</v>
      </c>
      <c r="I110" s="83">
        <f t="shared" si="4"/>
        <v>3.48</v>
      </c>
      <c r="J110" s="82">
        <v>1</v>
      </c>
      <c r="K110" s="95" t="str">
        <f t="shared" si="5"/>
        <v>1tab</v>
      </c>
    </row>
    <row r="111" spans="2:11" x14ac:dyDescent="0.25">
      <c r="B111" s="63">
        <v>28</v>
      </c>
      <c r="C111" s="67" t="s">
        <v>404</v>
      </c>
      <c r="D111" s="82">
        <v>60</v>
      </c>
      <c r="E111" s="82" t="s">
        <v>308</v>
      </c>
      <c r="F111" s="82">
        <v>13</v>
      </c>
      <c r="G111" s="83">
        <f>F111/D111*5</f>
        <v>1.0833333333333335</v>
      </c>
      <c r="H111" s="82" t="s">
        <v>308</v>
      </c>
      <c r="I111" s="83">
        <f t="shared" si="4"/>
        <v>1.2566666666666668</v>
      </c>
      <c r="J111" s="82">
        <v>5</v>
      </c>
      <c r="K111" s="95" t="str">
        <f t="shared" si="5"/>
        <v>5ml</v>
      </c>
    </row>
    <row r="112" spans="2:11" x14ac:dyDescent="0.25">
      <c r="B112" s="63">
        <v>27</v>
      </c>
      <c r="C112" s="67" t="s">
        <v>405</v>
      </c>
      <c r="D112" s="82"/>
      <c r="E112" s="96" t="s">
        <v>244</v>
      </c>
      <c r="F112" s="82"/>
      <c r="G112" s="83">
        <v>0.7</v>
      </c>
      <c r="H112" s="82" t="s">
        <v>244</v>
      </c>
      <c r="I112" s="83">
        <f t="shared" si="4"/>
        <v>0.81199999999999994</v>
      </c>
      <c r="J112" s="82">
        <v>1</v>
      </c>
      <c r="K112" s="95" t="str">
        <f t="shared" si="5"/>
        <v>1tab</v>
      </c>
    </row>
    <row r="113" spans="2:11" x14ac:dyDescent="0.25">
      <c r="B113" s="63">
        <v>82</v>
      </c>
      <c r="C113" s="67" t="s">
        <v>406</v>
      </c>
      <c r="D113" s="82">
        <v>15</v>
      </c>
      <c r="E113" s="82" t="s">
        <v>346</v>
      </c>
      <c r="F113" s="82">
        <f>D113*1.27</f>
        <v>19.05</v>
      </c>
      <c r="G113" s="83">
        <f>F113/D113</f>
        <v>1.27</v>
      </c>
      <c r="H113" s="82" t="s">
        <v>346</v>
      </c>
      <c r="I113" s="83">
        <f t="shared" si="4"/>
        <v>1.4732000000000001</v>
      </c>
      <c r="J113" s="82">
        <v>1</v>
      </c>
      <c r="K113" s="95" t="str">
        <f t="shared" si="5"/>
        <v>1gm</v>
      </c>
    </row>
    <row r="114" spans="2:11" x14ac:dyDescent="0.25">
      <c r="B114" s="63">
        <v>41</v>
      </c>
      <c r="C114" s="67" t="s">
        <v>407</v>
      </c>
      <c r="D114" s="82"/>
      <c r="E114" s="96" t="s">
        <v>244</v>
      </c>
      <c r="F114" s="82"/>
      <c r="G114" s="83">
        <f>0.2141*91</f>
        <v>19.4831</v>
      </c>
      <c r="H114" s="82" t="s">
        <v>244</v>
      </c>
      <c r="I114" s="83">
        <f t="shared" si="4"/>
        <v>22.600396</v>
      </c>
      <c r="J114" s="82">
        <v>1</v>
      </c>
      <c r="K114" s="95" t="str">
        <f t="shared" si="5"/>
        <v>1tab</v>
      </c>
    </row>
    <row r="115" spans="2:11" x14ac:dyDescent="0.25">
      <c r="B115" s="63">
        <v>25</v>
      </c>
      <c r="C115" s="67" t="s">
        <v>408</v>
      </c>
      <c r="D115" s="82">
        <v>3.15</v>
      </c>
      <c r="E115" s="96" t="s">
        <v>244</v>
      </c>
      <c r="F115" s="82"/>
      <c r="G115" s="83">
        <f>D115</f>
        <v>3.15</v>
      </c>
      <c r="H115" s="82" t="s">
        <v>244</v>
      </c>
      <c r="I115" s="83">
        <f t="shared" si="4"/>
        <v>3.6539999999999999</v>
      </c>
      <c r="J115" s="82">
        <v>1</v>
      </c>
      <c r="K115" s="95" t="str">
        <f t="shared" si="5"/>
        <v>1tab</v>
      </c>
    </row>
    <row r="116" spans="2:11" x14ac:dyDescent="0.25">
      <c r="B116" s="63">
        <v>161</v>
      </c>
      <c r="C116" s="67" t="s">
        <v>409</v>
      </c>
      <c r="D116" s="82"/>
      <c r="E116" s="82"/>
      <c r="F116" s="82"/>
      <c r="G116" s="83">
        <v>61</v>
      </c>
      <c r="H116" s="82" t="s">
        <v>308</v>
      </c>
      <c r="I116" s="83">
        <f t="shared" si="4"/>
        <v>70.760000000000005</v>
      </c>
      <c r="J116" s="82">
        <v>1</v>
      </c>
      <c r="K116" s="95" t="str">
        <f t="shared" si="5"/>
        <v>1ml</v>
      </c>
    </row>
    <row r="117" spans="2:11" x14ac:dyDescent="0.25">
      <c r="B117" s="63">
        <v>24</v>
      </c>
      <c r="C117" s="67" t="s">
        <v>410</v>
      </c>
      <c r="D117" s="82">
        <v>15</v>
      </c>
      <c r="E117" s="82" t="s">
        <v>346</v>
      </c>
      <c r="F117" s="82">
        <v>13</v>
      </c>
      <c r="G117" s="83">
        <f>F117/D117*(5)</f>
        <v>4.3333333333333339</v>
      </c>
      <c r="H117" s="82" t="s">
        <v>346</v>
      </c>
      <c r="I117" s="83">
        <f t="shared" si="4"/>
        <v>5.0266666666666673</v>
      </c>
      <c r="J117" s="82">
        <v>5</v>
      </c>
      <c r="K117" s="95" t="str">
        <f t="shared" si="5"/>
        <v>5gm</v>
      </c>
    </row>
    <row r="118" spans="2:11" x14ac:dyDescent="0.25">
      <c r="B118" s="63">
        <v>48</v>
      </c>
      <c r="C118" s="67" t="s">
        <v>411</v>
      </c>
      <c r="D118" s="82"/>
      <c r="E118" s="82" t="s">
        <v>244</v>
      </c>
      <c r="F118" s="82"/>
      <c r="G118" s="83"/>
      <c r="H118" s="82"/>
      <c r="I118" s="83">
        <f t="shared" si="4"/>
        <v>0</v>
      </c>
      <c r="J118" s="82"/>
      <c r="K118" s="95" t="str">
        <f t="shared" si="5"/>
        <v/>
      </c>
    </row>
    <row r="119" spans="2:11" x14ac:dyDescent="0.25">
      <c r="B119" s="63">
        <v>46</v>
      </c>
      <c r="C119" s="67" t="s">
        <v>412</v>
      </c>
      <c r="D119" s="82"/>
      <c r="E119" s="82" t="s">
        <v>246</v>
      </c>
      <c r="F119" s="82"/>
      <c r="G119" s="83">
        <v>7</v>
      </c>
      <c r="H119" s="82" t="s">
        <v>246</v>
      </c>
      <c r="I119" s="83">
        <f t="shared" si="4"/>
        <v>8.120000000000001</v>
      </c>
      <c r="J119" s="82">
        <v>1</v>
      </c>
      <c r="K119" s="95" t="str">
        <f t="shared" si="5"/>
        <v>1vial</v>
      </c>
    </row>
    <row r="120" spans="2:11" x14ac:dyDescent="0.25">
      <c r="B120" s="63">
        <v>26</v>
      </c>
      <c r="C120" s="67" t="s">
        <v>413</v>
      </c>
      <c r="D120" s="82"/>
      <c r="E120" s="96" t="s">
        <v>244</v>
      </c>
      <c r="F120" s="82"/>
      <c r="G120" s="83">
        <v>3</v>
      </c>
      <c r="H120" s="82" t="s">
        <v>244</v>
      </c>
      <c r="I120" s="83">
        <f t="shared" si="4"/>
        <v>3.48</v>
      </c>
      <c r="J120" s="82">
        <v>1</v>
      </c>
      <c r="K120" s="95" t="str">
        <f t="shared" si="5"/>
        <v>1tab</v>
      </c>
    </row>
    <row r="121" spans="2:11" x14ac:dyDescent="0.25">
      <c r="B121" s="63">
        <v>79</v>
      </c>
      <c r="C121" s="67" t="s">
        <v>414</v>
      </c>
      <c r="D121" s="82">
        <v>30</v>
      </c>
      <c r="E121" s="82" t="s">
        <v>308</v>
      </c>
      <c r="F121" s="82">
        <v>63</v>
      </c>
      <c r="G121" s="83">
        <f>(0.023*91)/30*5</f>
        <v>0.34883333333333333</v>
      </c>
      <c r="H121" s="82" t="s">
        <v>308</v>
      </c>
      <c r="I121" s="83">
        <f t="shared" si="4"/>
        <v>0.40464666666666665</v>
      </c>
      <c r="J121" s="82">
        <v>5</v>
      </c>
      <c r="K121" s="95" t="str">
        <f t="shared" si="5"/>
        <v>5ml</v>
      </c>
    </row>
    <row r="122" spans="2:11" x14ac:dyDescent="0.25">
      <c r="B122" s="63">
        <v>78</v>
      </c>
      <c r="C122" s="67" t="s">
        <v>415</v>
      </c>
      <c r="D122" s="82"/>
      <c r="E122" s="82" t="s">
        <v>244</v>
      </c>
      <c r="F122" s="82"/>
      <c r="G122" s="83">
        <v>3.1</v>
      </c>
      <c r="H122" s="82" t="s">
        <v>244</v>
      </c>
      <c r="I122" s="83">
        <f t="shared" si="4"/>
        <v>3.5960000000000001</v>
      </c>
      <c r="J122" s="82">
        <v>1</v>
      </c>
      <c r="K122" s="95" t="str">
        <f t="shared" si="5"/>
        <v>1tab</v>
      </c>
    </row>
    <row r="123" spans="2:11" x14ac:dyDescent="0.25">
      <c r="B123" s="63">
        <v>43</v>
      </c>
      <c r="C123" s="67" t="s">
        <v>416</v>
      </c>
      <c r="D123" s="82"/>
      <c r="E123" s="82"/>
      <c r="F123" s="82"/>
      <c r="G123" s="83"/>
      <c r="H123" s="82"/>
      <c r="I123" s="83">
        <f t="shared" si="4"/>
        <v>0</v>
      </c>
      <c r="J123" s="82"/>
      <c r="K123" s="95" t="str">
        <f t="shared" si="5"/>
        <v/>
      </c>
    </row>
    <row r="124" spans="2:11" x14ac:dyDescent="0.25">
      <c r="B124" s="63">
        <v>112</v>
      </c>
      <c r="C124" s="67" t="s">
        <v>417</v>
      </c>
      <c r="D124" s="82"/>
      <c r="E124" s="82"/>
      <c r="F124" s="82"/>
      <c r="G124" s="83">
        <v>0.75</v>
      </c>
      <c r="H124" s="82" t="s">
        <v>369</v>
      </c>
      <c r="I124" s="83">
        <f t="shared" si="4"/>
        <v>0.87</v>
      </c>
      <c r="J124" s="82">
        <v>1</v>
      </c>
      <c r="K124" s="95" t="str">
        <f t="shared" si="5"/>
        <v>1cap</v>
      </c>
    </row>
    <row r="125" spans="2:11" x14ac:dyDescent="0.25">
      <c r="B125" s="63">
        <v>193</v>
      </c>
      <c r="C125" s="67" t="s">
        <v>15</v>
      </c>
      <c r="D125" s="82"/>
      <c r="E125" s="82"/>
      <c r="F125" s="82"/>
      <c r="G125" s="83">
        <f>(3.1*91)/20</f>
        <v>14.105</v>
      </c>
      <c r="H125" s="82" t="s">
        <v>300</v>
      </c>
      <c r="I125" s="83">
        <f t="shared" si="4"/>
        <v>16.361800000000002</v>
      </c>
      <c r="J125" s="82">
        <v>1</v>
      </c>
      <c r="K125" s="95" t="str">
        <f t="shared" si="5"/>
        <v>1dose</v>
      </c>
    </row>
    <row r="126" spans="2:11" ht="60" x14ac:dyDescent="0.25">
      <c r="B126" s="63">
        <v>54</v>
      </c>
      <c r="C126" s="97" t="s">
        <v>418</v>
      </c>
      <c r="D126" s="82"/>
      <c r="E126" s="82"/>
      <c r="F126" s="82"/>
      <c r="G126" s="83">
        <v>3.5</v>
      </c>
      <c r="H126" s="82" t="s">
        <v>419</v>
      </c>
      <c r="I126" s="83">
        <f t="shared" si="4"/>
        <v>4.0600000000000005</v>
      </c>
      <c r="J126" s="82">
        <v>1</v>
      </c>
      <c r="K126" s="95" t="str">
        <f t="shared" si="5"/>
        <v>1pack</v>
      </c>
    </row>
    <row r="127" spans="2:11" ht="30" x14ac:dyDescent="0.25">
      <c r="B127" s="63">
        <v>53</v>
      </c>
      <c r="C127" s="97" t="s">
        <v>420</v>
      </c>
      <c r="D127" s="82">
        <v>20</v>
      </c>
      <c r="E127" s="82" t="s">
        <v>419</v>
      </c>
      <c r="F127" s="82">
        <v>74</v>
      </c>
      <c r="G127" s="83">
        <f>F127/D127</f>
        <v>3.7</v>
      </c>
      <c r="H127" s="82" t="s">
        <v>419</v>
      </c>
      <c r="I127" s="83">
        <f t="shared" si="4"/>
        <v>4.2919999999999998</v>
      </c>
      <c r="J127" s="82">
        <v>1</v>
      </c>
      <c r="K127" s="95" t="str">
        <f t="shared" ref="K127:K172" si="6">J127&amp;H127</f>
        <v>1pack</v>
      </c>
    </row>
    <row r="128" spans="2:11" x14ac:dyDescent="0.25">
      <c r="B128" s="63">
        <v>39</v>
      </c>
      <c r="C128" s="97" t="s">
        <v>421</v>
      </c>
      <c r="D128" s="82">
        <v>9</v>
      </c>
      <c r="E128" s="82" t="s">
        <v>246</v>
      </c>
      <c r="F128" s="82"/>
      <c r="G128" s="83">
        <v>9</v>
      </c>
      <c r="H128" s="82" t="s">
        <v>321</v>
      </c>
      <c r="I128" s="83">
        <f t="shared" si="4"/>
        <v>10.44</v>
      </c>
      <c r="J128" s="82">
        <v>1</v>
      </c>
      <c r="K128" s="95" t="str">
        <f t="shared" si="6"/>
        <v>1inj</v>
      </c>
    </row>
    <row r="129" spans="2:11" x14ac:dyDescent="0.25">
      <c r="B129" s="63">
        <v>194</v>
      </c>
      <c r="C129" s="67" t="s">
        <v>422</v>
      </c>
      <c r="D129" s="82"/>
      <c r="E129" s="82"/>
      <c r="F129" s="82"/>
      <c r="G129" s="83">
        <v>340</v>
      </c>
      <c r="H129" s="82" t="s">
        <v>300</v>
      </c>
      <c r="I129" s="83">
        <f t="shared" si="4"/>
        <v>394.4</v>
      </c>
      <c r="J129" s="82"/>
      <c r="K129" s="95" t="str">
        <f t="shared" si="6"/>
        <v>dose</v>
      </c>
    </row>
    <row r="130" spans="2:11" x14ac:dyDescent="0.25">
      <c r="B130" s="63">
        <v>89</v>
      </c>
      <c r="C130" s="86" t="s">
        <v>523</v>
      </c>
      <c r="D130" s="82"/>
      <c r="E130" s="82"/>
      <c r="F130" s="82"/>
      <c r="G130" s="83"/>
      <c r="H130" s="96" t="s">
        <v>300</v>
      </c>
      <c r="I130" s="83">
        <f>7*91</f>
        <v>637</v>
      </c>
      <c r="J130" s="82">
        <v>1</v>
      </c>
      <c r="K130" s="95" t="str">
        <f t="shared" si="6"/>
        <v>1dose</v>
      </c>
    </row>
    <row r="131" spans="2:11" x14ac:dyDescent="0.25">
      <c r="B131" s="63">
        <v>181</v>
      </c>
      <c r="C131" s="67" t="s">
        <v>423</v>
      </c>
      <c r="D131" s="82">
        <v>100</v>
      </c>
      <c r="E131" s="82" t="s">
        <v>346</v>
      </c>
      <c r="F131" s="82">
        <f>4.25*91</f>
        <v>386.75</v>
      </c>
      <c r="G131" s="83">
        <f>F131/D131</f>
        <v>3.8675000000000002</v>
      </c>
      <c r="H131" s="82" t="s">
        <v>346</v>
      </c>
      <c r="I131" s="83">
        <f t="shared" si="4"/>
        <v>4.4863</v>
      </c>
      <c r="J131" s="82">
        <v>1</v>
      </c>
      <c r="K131" s="95" t="str">
        <f t="shared" si="6"/>
        <v>1gm</v>
      </c>
    </row>
    <row r="132" spans="2:11" x14ac:dyDescent="0.25">
      <c r="B132" s="63">
        <v>132</v>
      </c>
      <c r="C132" s="67" t="s">
        <v>424</v>
      </c>
      <c r="D132" s="82">
        <v>20</v>
      </c>
      <c r="E132" s="82" t="s">
        <v>346</v>
      </c>
      <c r="F132" s="82">
        <v>40</v>
      </c>
      <c r="G132" s="83">
        <f>F132/D132*1</f>
        <v>2</v>
      </c>
      <c r="H132" s="82" t="s">
        <v>346</v>
      </c>
      <c r="I132" s="83">
        <f t="shared" si="4"/>
        <v>2.3199999999999998</v>
      </c>
      <c r="J132" s="82">
        <v>1</v>
      </c>
      <c r="K132" s="95" t="str">
        <f t="shared" si="6"/>
        <v>1gm</v>
      </c>
    </row>
    <row r="133" spans="2:11" x14ac:dyDescent="0.25">
      <c r="B133" s="63">
        <v>139</v>
      </c>
      <c r="C133" s="67" t="s">
        <v>425</v>
      </c>
      <c r="D133" s="82"/>
      <c r="E133" s="82"/>
      <c r="F133" s="82"/>
      <c r="G133" s="83"/>
      <c r="H133" s="82"/>
      <c r="I133" s="83">
        <f t="shared" si="4"/>
        <v>0</v>
      </c>
      <c r="J133" s="82"/>
      <c r="K133" s="95" t="str">
        <f t="shared" si="6"/>
        <v/>
      </c>
    </row>
    <row r="134" spans="2:11" ht="30" x14ac:dyDescent="0.25">
      <c r="B134" s="63">
        <v>163</v>
      </c>
      <c r="C134" s="97" t="s">
        <v>426</v>
      </c>
      <c r="D134" s="82"/>
      <c r="E134" s="82"/>
      <c r="F134" s="82"/>
      <c r="G134" s="83"/>
      <c r="H134" s="82"/>
      <c r="I134" s="83">
        <f t="shared" si="4"/>
        <v>0</v>
      </c>
      <c r="J134" s="82"/>
      <c r="K134" s="95" t="str">
        <f t="shared" si="6"/>
        <v/>
      </c>
    </row>
    <row r="135" spans="2:11" x14ac:dyDescent="0.25">
      <c r="B135" s="63">
        <v>146</v>
      </c>
      <c r="C135" s="67" t="s">
        <v>427</v>
      </c>
      <c r="D135" s="82">
        <v>450</v>
      </c>
      <c r="E135" s="82" t="s">
        <v>308</v>
      </c>
      <c r="F135" s="82">
        <v>128</v>
      </c>
      <c r="G135" s="83">
        <f>F135/D135*5</f>
        <v>1.4222222222222223</v>
      </c>
      <c r="H135" s="82" t="s">
        <v>308</v>
      </c>
      <c r="I135" s="83">
        <f t="shared" si="4"/>
        <v>1.6497777777777778</v>
      </c>
      <c r="J135" s="82">
        <v>5</v>
      </c>
      <c r="K135" s="95" t="str">
        <f t="shared" si="6"/>
        <v>5ml</v>
      </c>
    </row>
    <row r="136" spans="2:11" x14ac:dyDescent="0.25">
      <c r="B136" s="63">
        <v>67</v>
      </c>
      <c r="C136" s="67" t="s">
        <v>428</v>
      </c>
      <c r="D136" s="82"/>
      <c r="E136" s="82"/>
      <c r="F136" s="82"/>
      <c r="G136" s="83">
        <v>1.1000000000000001</v>
      </c>
      <c r="H136" s="82" t="s">
        <v>244</v>
      </c>
      <c r="I136" s="83">
        <f t="shared" si="4"/>
        <v>1.276</v>
      </c>
      <c r="J136" s="82">
        <v>1</v>
      </c>
      <c r="K136" s="95" t="str">
        <f t="shared" si="6"/>
        <v>1tab</v>
      </c>
    </row>
    <row r="137" spans="2:11" x14ac:dyDescent="0.25">
      <c r="B137" s="63">
        <v>102</v>
      </c>
      <c r="C137" s="67" t="s">
        <v>429</v>
      </c>
      <c r="D137" s="82"/>
      <c r="E137" s="82" t="s">
        <v>244</v>
      </c>
      <c r="F137" s="82"/>
      <c r="G137" s="83">
        <v>1</v>
      </c>
      <c r="H137" s="82" t="s">
        <v>244</v>
      </c>
      <c r="I137" s="83">
        <f t="shared" si="4"/>
        <v>1.1599999999999999</v>
      </c>
      <c r="J137" s="82">
        <v>1</v>
      </c>
      <c r="K137" s="95" t="str">
        <f t="shared" si="6"/>
        <v>1tab</v>
      </c>
    </row>
    <row r="138" spans="2:11" x14ac:dyDescent="0.25">
      <c r="B138" s="63">
        <v>155</v>
      </c>
      <c r="C138" s="67" t="s">
        <v>430</v>
      </c>
      <c r="D138" s="82"/>
      <c r="E138" s="82"/>
      <c r="F138" s="82"/>
      <c r="G138" s="83">
        <v>0.47</v>
      </c>
      <c r="H138" s="82" t="s">
        <v>244</v>
      </c>
      <c r="I138" s="83">
        <f t="shared" si="4"/>
        <v>0.54520000000000002</v>
      </c>
      <c r="J138" s="82">
        <v>1</v>
      </c>
      <c r="K138" s="95" t="str">
        <f t="shared" si="6"/>
        <v>1tab</v>
      </c>
    </row>
    <row r="139" spans="2:11" x14ac:dyDescent="0.25">
      <c r="B139" s="63">
        <v>110</v>
      </c>
      <c r="C139" s="67" t="s">
        <v>431</v>
      </c>
      <c r="D139" s="82"/>
      <c r="E139" s="82"/>
      <c r="F139" s="82"/>
      <c r="G139" s="83">
        <v>1.5</v>
      </c>
      <c r="H139" s="82" t="s">
        <v>244</v>
      </c>
      <c r="I139" s="83">
        <f t="shared" si="4"/>
        <v>1.74</v>
      </c>
      <c r="J139" s="82">
        <v>1</v>
      </c>
      <c r="K139" s="95" t="str">
        <f t="shared" si="6"/>
        <v>1tab</v>
      </c>
    </row>
    <row r="140" spans="2:11" x14ac:dyDescent="0.25">
      <c r="B140" s="63">
        <v>73</v>
      </c>
      <c r="C140" s="67" t="s">
        <v>432</v>
      </c>
      <c r="D140" s="82">
        <v>20</v>
      </c>
      <c r="E140" s="82" t="s">
        <v>244</v>
      </c>
      <c r="F140" s="82">
        <v>20</v>
      </c>
      <c r="G140" s="83">
        <v>1</v>
      </c>
      <c r="H140" s="82" t="s">
        <v>244</v>
      </c>
      <c r="I140" s="83">
        <f t="shared" ref="I140:I176" si="7">((SUM($G$2:$G$4)*G140)+G140)</f>
        <v>1.1599999999999999</v>
      </c>
      <c r="J140" s="82">
        <v>1</v>
      </c>
      <c r="K140" s="95" t="str">
        <f t="shared" si="6"/>
        <v>1tab</v>
      </c>
    </row>
    <row r="141" spans="2:11" ht="45" x14ac:dyDescent="0.25">
      <c r="B141" s="63">
        <v>70</v>
      </c>
      <c r="C141" s="97" t="s">
        <v>433</v>
      </c>
      <c r="D141" s="82"/>
      <c r="E141" s="82" t="s">
        <v>244</v>
      </c>
      <c r="F141" s="82"/>
      <c r="G141" s="83">
        <v>6</v>
      </c>
      <c r="H141" s="82" t="s">
        <v>244</v>
      </c>
      <c r="I141" s="83">
        <f t="shared" si="7"/>
        <v>6.96</v>
      </c>
      <c r="J141" s="82">
        <v>1</v>
      </c>
      <c r="K141" s="95" t="str">
        <f t="shared" si="6"/>
        <v>1tab</v>
      </c>
    </row>
    <row r="142" spans="2:11" x14ac:dyDescent="0.25">
      <c r="B142" s="63">
        <v>71</v>
      </c>
      <c r="C142" s="67" t="s">
        <v>434</v>
      </c>
      <c r="D142" s="82"/>
      <c r="E142" s="82" t="s">
        <v>244</v>
      </c>
      <c r="F142" s="82"/>
      <c r="G142" s="83">
        <f>2+0.5</f>
        <v>2.5</v>
      </c>
      <c r="H142" s="82" t="s">
        <v>244</v>
      </c>
      <c r="I142" s="83">
        <f t="shared" si="7"/>
        <v>2.9</v>
      </c>
      <c r="J142" s="82">
        <v>1</v>
      </c>
      <c r="K142" s="95" t="str">
        <f t="shared" si="6"/>
        <v>1tab</v>
      </c>
    </row>
    <row r="143" spans="2:11" x14ac:dyDescent="0.25">
      <c r="B143" s="63">
        <v>176</v>
      </c>
      <c r="C143" s="67" t="s">
        <v>435</v>
      </c>
      <c r="D143" s="82"/>
      <c r="E143" s="82" t="s">
        <v>244</v>
      </c>
      <c r="F143" s="82"/>
      <c r="G143" s="83">
        <v>4.5</v>
      </c>
      <c r="H143" s="82" t="s">
        <v>244</v>
      </c>
      <c r="I143" s="83">
        <f t="shared" si="7"/>
        <v>5.22</v>
      </c>
      <c r="J143" s="82">
        <v>1</v>
      </c>
      <c r="K143" s="95" t="str">
        <f t="shared" si="6"/>
        <v>1tab</v>
      </c>
    </row>
    <row r="144" spans="2:11" x14ac:dyDescent="0.25">
      <c r="B144" s="63">
        <v>177</v>
      </c>
      <c r="C144" s="67" t="s">
        <v>436</v>
      </c>
      <c r="D144" s="82">
        <v>1000</v>
      </c>
      <c r="E144" s="82" t="s">
        <v>308</v>
      </c>
      <c r="F144" s="82">
        <v>50</v>
      </c>
      <c r="G144" s="83">
        <v>50</v>
      </c>
      <c r="H144" s="82" t="s">
        <v>308</v>
      </c>
      <c r="I144" s="83">
        <f t="shared" si="7"/>
        <v>58</v>
      </c>
      <c r="J144" s="82">
        <v>1000</v>
      </c>
      <c r="K144" s="95" t="str">
        <f t="shared" si="6"/>
        <v>1000ml</v>
      </c>
    </row>
    <row r="145" spans="2:11" x14ac:dyDescent="0.25">
      <c r="B145" s="63">
        <v>141</v>
      </c>
      <c r="C145" s="67" t="s">
        <v>437</v>
      </c>
      <c r="D145" s="82">
        <v>500</v>
      </c>
      <c r="E145" s="82" t="s">
        <v>308</v>
      </c>
      <c r="F145" s="82">
        <v>35</v>
      </c>
      <c r="G145" s="83">
        <v>35</v>
      </c>
      <c r="H145" s="82" t="s">
        <v>308</v>
      </c>
      <c r="I145" s="83">
        <f t="shared" si="7"/>
        <v>40.6</v>
      </c>
      <c r="J145" s="82">
        <v>500</v>
      </c>
      <c r="K145" s="95" t="str">
        <f t="shared" si="6"/>
        <v>500ml</v>
      </c>
    </row>
    <row r="146" spans="2:11" x14ac:dyDescent="0.25">
      <c r="B146" s="63">
        <v>143</v>
      </c>
      <c r="C146" s="67" t="s">
        <v>438</v>
      </c>
      <c r="D146" s="82">
        <v>20</v>
      </c>
      <c r="E146" s="82" t="s">
        <v>308</v>
      </c>
      <c r="F146" s="82">
        <v>18</v>
      </c>
      <c r="G146" s="83">
        <f>F146/D146</f>
        <v>0.9</v>
      </c>
      <c r="H146" s="82" t="s">
        <v>308</v>
      </c>
      <c r="I146" s="83">
        <f t="shared" si="7"/>
        <v>1.044</v>
      </c>
      <c r="J146" s="82">
        <v>1</v>
      </c>
      <c r="K146" s="95" t="str">
        <f t="shared" si="6"/>
        <v>1ml</v>
      </c>
    </row>
    <row r="147" spans="2:11" x14ac:dyDescent="0.25">
      <c r="B147" s="63">
        <v>142</v>
      </c>
      <c r="C147" s="67" t="s">
        <v>439</v>
      </c>
      <c r="D147" s="82">
        <v>100</v>
      </c>
      <c r="E147" s="82" t="s">
        <v>308</v>
      </c>
      <c r="F147" s="82">
        <f>G147/5*D147</f>
        <v>52.779999999999994</v>
      </c>
      <c r="G147" s="83">
        <f>0.0058*91*5</f>
        <v>2.6389999999999998</v>
      </c>
      <c r="H147" s="82" t="s">
        <v>308</v>
      </c>
      <c r="I147" s="83">
        <f t="shared" si="7"/>
        <v>3.0612399999999997</v>
      </c>
      <c r="J147" s="82">
        <v>5</v>
      </c>
      <c r="K147" s="95" t="str">
        <f t="shared" si="6"/>
        <v>5ml</v>
      </c>
    </row>
    <row r="148" spans="2:11" x14ac:dyDescent="0.25">
      <c r="B148" s="63">
        <v>182</v>
      </c>
      <c r="C148" s="67" t="s">
        <v>440</v>
      </c>
      <c r="D148" s="82">
        <v>100</v>
      </c>
      <c r="E148" s="82" t="s">
        <v>244</v>
      </c>
      <c r="F148" s="82">
        <v>23</v>
      </c>
      <c r="G148" s="83">
        <v>0.35</v>
      </c>
      <c r="H148" s="82" t="s">
        <v>244</v>
      </c>
      <c r="I148" s="83">
        <f t="shared" si="7"/>
        <v>0.40599999999999997</v>
      </c>
      <c r="J148" s="82">
        <v>1</v>
      </c>
      <c r="K148" s="95" t="str">
        <f t="shared" si="6"/>
        <v>1tab</v>
      </c>
    </row>
    <row r="149" spans="2:11" x14ac:dyDescent="0.25">
      <c r="B149" s="63">
        <v>137</v>
      </c>
      <c r="C149" s="67" t="s">
        <v>441</v>
      </c>
      <c r="D149" s="82"/>
      <c r="E149" s="82"/>
      <c r="F149" s="82"/>
      <c r="G149" s="83"/>
      <c r="H149" s="82"/>
      <c r="I149" s="83">
        <f t="shared" si="7"/>
        <v>0</v>
      </c>
      <c r="J149" s="82"/>
      <c r="K149" s="95" t="str">
        <f t="shared" si="6"/>
        <v/>
      </c>
    </row>
    <row r="150" spans="2:11" x14ac:dyDescent="0.25">
      <c r="B150" s="63">
        <v>175</v>
      </c>
      <c r="C150" s="67" t="s">
        <v>442</v>
      </c>
      <c r="D150" s="82">
        <v>10</v>
      </c>
      <c r="E150" s="82" t="s">
        <v>308</v>
      </c>
      <c r="F150" s="82">
        <v>7.5</v>
      </c>
      <c r="G150" s="83">
        <f>F150/D150</f>
        <v>0.75</v>
      </c>
      <c r="H150" s="82" t="s">
        <v>308</v>
      </c>
      <c r="I150" s="83">
        <f t="shared" si="7"/>
        <v>0.87</v>
      </c>
      <c r="J150" s="82">
        <v>1</v>
      </c>
      <c r="K150" s="95" t="str">
        <f t="shared" si="6"/>
        <v>1ml</v>
      </c>
    </row>
    <row r="151" spans="2:11" x14ac:dyDescent="0.25">
      <c r="B151" s="63">
        <v>174</v>
      </c>
      <c r="C151" s="67" t="s">
        <v>14</v>
      </c>
      <c r="D151" s="82">
        <v>20</v>
      </c>
      <c r="E151" s="82" t="s">
        <v>308</v>
      </c>
      <c r="F151" s="82">
        <v>12</v>
      </c>
      <c r="G151" s="83">
        <v>12</v>
      </c>
      <c r="H151" s="82" t="s">
        <v>308</v>
      </c>
      <c r="I151" s="83">
        <f t="shared" si="7"/>
        <v>13.92</v>
      </c>
      <c r="J151" s="82">
        <v>20</v>
      </c>
      <c r="K151" s="95" t="str">
        <f t="shared" si="6"/>
        <v>20ml</v>
      </c>
    </row>
    <row r="152" spans="2:11" x14ac:dyDescent="0.25">
      <c r="B152" s="63">
        <v>98</v>
      </c>
      <c r="C152" s="67" t="s">
        <v>443</v>
      </c>
      <c r="D152" s="82">
        <v>1000</v>
      </c>
      <c r="E152" s="82" t="s">
        <v>308</v>
      </c>
      <c r="F152" s="82">
        <v>36</v>
      </c>
      <c r="G152" s="83">
        <v>36</v>
      </c>
      <c r="H152" s="82" t="s">
        <v>308</v>
      </c>
      <c r="I152" s="83">
        <f t="shared" si="7"/>
        <v>41.76</v>
      </c>
      <c r="J152" s="82">
        <v>1000</v>
      </c>
      <c r="K152" s="95" t="str">
        <f t="shared" si="6"/>
        <v>1000ml</v>
      </c>
    </row>
    <row r="153" spans="2:11" x14ac:dyDescent="0.25">
      <c r="B153" s="63">
        <v>74</v>
      </c>
      <c r="C153" s="67" t="s">
        <v>444</v>
      </c>
      <c r="D153" s="82"/>
      <c r="E153" s="82"/>
      <c r="F153" s="82"/>
      <c r="G153" s="83">
        <v>3.04</v>
      </c>
      <c r="H153" s="82" t="s">
        <v>244</v>
      </c>
      <c r="I153" s="83">
        <f t="shared" si="7"/>
        <v>3.5264000000000002</v>
      </c>
      <c r="J153" s="82">
        <v>1</v>
      </c>
      <c r="K153" s="95" t="str">
        <f t="shared" si="6"/>
        <v>1tab</v>
      </c>
    </row>
    <row r="154" spans="2:11" x14ac:dyDescent="0.25">
      <c r="B154" s="63">
        <v>65</v>
      </c>
      <c r="C154" s="67" t="s">
        <v>445</v>
      </c>
      <c r="D154" s="82"/>
      <c r="E154" s="82" t="s">
        <v>246</v>
      </c>
      <c r="F154" s="82"/>
      <c r="G154" s="83">
        <v>2.19</v>
      </c>
      <c r="H154" s="82" t="s">
        <v>321</v>
      </c>
      <c r="I154" s="83">
        <f t="shared" si="7"/>
        <v>2.5404</v>
      </c>
      <c r="J154" s="82">
        <v>1</v>
      </c>
      <c r="K154" s="95" t="str">
        <f t="shared" si="6"/>
        <v>1inj</v>
      </c>
    </row>
    <row r="155" spans="2:11" ht="30" x14ac:dyDescent="0.25">
      <c r="B155" s="63">
        <v>64</v>
      </c>
      <c r="C155" s="97" t="s">
        <v>446</v>
      </c>
      <c r="D155" s="82">
        <v>15</v>
      </c>
      <c r="E155" s="82" t="s">
        <v>308</v>
      </c>
      <c r="F155" s="82">
        <v>15</v>
      </c>
      <c r="G155" s="83">
        <f>F155/D155*5</f>
        <v>5</v>
      </c>
      <c r="H155" s="82" t="s">
        <v>308</v>
      </c>
      <c r="I155" s="83">
        <f t="shared" si="7"/>
        <v>5.8</v>
      </c>
      <c r="J155" s="82">
        <v>5</v>
      </c>
      <c r="K155" s="95" t="str">
        <f t="shared" si="6"/>
        <v>5ml</v>
      </c>
    </row>
    <row r="156" spans="2:11" ht="30" x14ac:dyDescent="0.25">
      <c r="B156" s="63">
        <v>16</v>
      </c>
      <c r="C156" s="97" t="s">
        <v>447</v>
      </c>
      <c r="D156" s="82"/>
      <c r="E156" s="82" t="s">
        <v>244</v>
      </c>
      <c r="F156" s="82"/>
      <c r="G156" s="83">
        <v>2.25</v>
      </c>
      <c r="H156" s="82" t="s">
        <v>244</v>
      </c>
      <c r="I156" s="83">
        <f t="shared" si="7"/>
        <v>2.61</v>
      </c>
      <c r="J156" s="82">
        <v>1</v>
      </c>
      <c r="K156" s="95" t="str">
        <f t="shared" si="6"/>
        <v>1tab</v>
      </c>
    </row>
    <row r="157" spans="2:11" ht="30" x14ac:dyDescent="0.25">
      <c r="B157" s="63">
        <v>15</v>
      </c>
      <c r="C157" s="97" t="s">
        <v>144</v>
      </c>
      <c r="D157" s="82"/>
      <c r="E157" s="82"/>
      <c r="F157" s="82"/>
      <c r="G157" s="83">
        <v>1.2</v>
      </c>
      <c r="H157" s="82" t="s">
        <v>308</v>
      </c>
      <c r="I157" s="83">
        <f t="shared" si="7"/>
        <v>1.3919999999999999</v>
      </c>
      <c r="J157" s="82">
        <v>5</v>
      </c>
      <c r="K157" s="95" t="str">
        <f t="shared" si="6"/>
        <v>5ml</v>
      </c>
    </row>
    <row r="158" spans="2:11" ht="30" x14ac:dyDescent="0.25">
      <c r="B158" s="63">
        <v>131</v>
      </c>
      <c r="C158" s="97" t="s">
        <v>448</v>
      </c>
      <c r="D158" s="82">
        <v>10</v>
      </c>
      <c r="E158" s="96" t="s">
        <v>369</v>
      </c>
      <c r="F158" s="82">
        <f>D158*1</f>
        <v>10</v>
      </c>
      <c r="G158" s="83">
        <v>1</v>
      </c>
      <c r="H158" s="82" t="s">
        <v>369</v>
      </c>
      <c r="I158" s="83">
        <f t="shared" si="7"/>
        <v>1.1599999999999999</v>
      </c>
      <c r="J158" s="82">
        <v>1</v>
      </c>
      <c r="K158" s="95" t="str">
        <f t="shared" si="6"/>
        <v>1cap</v>
      </c>
    </row>
    <row r="159" spans="2:11" x14ac:dyDescent="0.25">
      <c r="B159" s="63">
        <v>197</v>
      </c>
      <c r="C159" s="67" t="s">
        <v>449</v>
      </c>
      <c r="D159" s="82">
        <v>10</v>
      </c>
      <c r="E159" s="82" t="s">
        <v>308</v>
      </c>
      <c r="F159" s="82">
        <v>17</v>
      </c>
      <c r="G159" s="83">
        <v>17</v>
      </c>
      <c r="H159" s="82" t="s">
        <v>308</v>
      </c>
      <c r="I159" s="83">
        <f t="shared" si="7"/>
        <v>19.72</v>
      </c>
      <c r="J159" s="82">
        <v>10</v>
      </c>
      <c r="K159" s="95" t="str">
        <f t="shared" si="6"/>
        <v>10ml</v>
      </c>
    </row>
    <row r="160" spans="2:11" x14ac:dyDescent="0.25">
      <c r="B160" s="63">
        <v>133</v>
      </c>
      <c r="C160" s="67" t="s">
        <v>18</v>
      </c>
      <c r="D160" s="82"/>
      <c r="E160" s="82"/>
      <c r="F160" s="82"/>
      <c r="G160" s="83">
        <v>9</v>
      </c>
      <c r="H160" s="82" t="s">
        <v>300</v>
      </c>
      <c r="I160" s="83">
        <f t="shared" si="7"/>
        <v>10.44</v>
      </c>
      <c r="J160" s="82">
        <v>1</v>
      </c>
      <c r="K160" s="95" t="str">
        <f t="shared" si="6"/>
        <v>1dose</v>
      </c>
    </row>
    <row r="161" spans="2:11" x14ac:dyDescent="0.25">
      <c r="B161" s="63">
        <v>183</v>
      </c>
      <c r="C161" s="67" t="s">
        <v>450</v>
      </c>
      <c r="D161" s="82">
        <v>5</v>
      </c>
      <c r="E161" s="96" t="s">
        <v>544</v>
      </c>
      <c r="F161" s="82">
        <v>22</v>
      </c>
      <c r="G161" s="83">
        <f>F161/10</f>
        <v>2.2000000000000002</v>
      </c>
      <c r="H161" s="82" t="s">
        <v>451</v>
      </c>
      <c r="I161" s="83">
        <f t="shared" si="7"/>
        <v>2.552</v>
      </c>
      <c r="J161" s="82">
        <v>1</v>
      </c>
      <c r="K161" s="95" t="str">
        <f t="shared" si="6"/>
        <v>1mg</v>
      </c>
    </row>
    <row r="162" spans="2:11" x14ac:dyDescent="0.25">
      <c r="B162" s="63">
        <v>18</v>
      </c>
      <c r="C162" s="67" t="s">
        <v>452</v>
      </c>
      <c r="D162" s="82"/>
      <c r="E162" s="82"/>
      <c r="F162" s="82"/>
      <c r="G162" s="83"/>
      <c r="H162" s="82"/>
      <c r="I162" s="83">
        <f t="shared" si="7"/>
        <v>0</v>
      </c>
      <c r="J162" s="82"/>
      <c r="K162" s="95" t="str">
        <f t="shared" si="6"/>
        <v/>
      </c>
    </row>
    <row r="163" spans="2:11" x14ac:dyDescent="0.25">
      <c r="B163" s="63">
        <v>145</v>
      </c>
      <c r="C163" s="67" t="s">
        <v>453</v>
      </c>
      <c r="D163" s="82"/>
      <c r="E163" s="82"/>
      <c r="F163" s="82"/>
      <c r="G163" s="83">
        <v>1</v>
      </c>
      <c r="H163" s="82" t="s">
        <v>369</v>
      </c>
      <c r="I163" s="83">
        <f t="shared" si="7"/>
        <v>1.1599999999999999</v>
      </c>
      <c r="J163" s="82">
        <v>1</v>
      </c>
      <c r="K163" s="95" t="str">
        <f t="shared" si="6"/>
        <v>1cap</v>
      </c>
    </row>
    <row r="164" spans="2:11" x14ac:dyDescent="0.25">
      <c r="B164" s="63">
        <v>168</v>
      </c>
      <c r="C164" s="67" t="s">
        <v>454</v>
      </c>
      <c r="D164" s="82"/>
      <c r="E164" s="82"/>
      <c r="F164" s="82"/>
      <c r="G164" s="83">
        <v>1.85</v>
      </c>
      <c r="H164" s="82" t="s">
        <v>244</v>
      </c>
      <c r="I164" s="83">
        <f t="shared" si="7"/>
        <v>2.1459999999999999</v>
      </c>
      <c r="J164" s="82">
        <v>1</v>
      </c>
      <c r="K164" s="95" t="str">
        <f t="shared" si="6"/>
        <v>1tab</v>
      </c>
    </row>
    <row r="165" spans="2:11" x14ac:dyDescent="0.25">
      <c r="B165" s="63">
        <v>30</v>
      </c>
      <c r="C165" s="67" t="s">
        <v>13</v>
      </c>
      <c r="D165" s="82"/>
      <c r="E165" s="82"/>
      <c r="F165" s="82"/>
      <c r="G165" s="83">
        <v>0.5</v>
      </c>
      <c r="H165" s="82" t="s">
        <v>308</v>
      </c>
      <c r="I165" s="83">
        <f t="shared" si="7"/>
        <v>0.57999999999999996</v>
      </c>
      <c r="J165" s="82">
        <v>1</v>
      </c>
      <c r="K165" s="95" t="str">
        <f t="shared" si="6"/>
        <v>1ml</v>
      </c>
    </row>
    <row r="166" spans="2:11" x14ac:dyDescent="0.25">
      <c r="B166" s="63">
        <v>9</v>
      </c>
      <c r="C166" s="67" t="s">
        <v>455</v>
      </c>
      <c r="D166" s="82"/>
      <c r="E166" s="96" t="s">
        <v>244</v>
      </c>
      <c r="F166" s="82"/>
      <c r="G166" s="83">
        <v>5</v>
      </c>
      <c r="H166" s="82" t="s">
        <v>244</v>
      </c>
      <c r="I166" s="83">
        <f t="shared" si="7"/>
        <v>5.8</v>
      </c>
      <c r="J166" s="82">
        <v>1</v>
      </c>
      <c r="K166" s="95" t="str">
        <f t="shared" si="6"/>
        <v>1tab</v>
      </c>
    </row>
    <row r="167" spans="2:11" x14ac:dyDescent="0.25">
      <c r="B167" s="63">
        <v>148</v>
      </c>
      <c r="C167" s="67" t="s">
        <v>456</v>
      </c>
      <c r="D167" s="82"/>
      <c r="E167" s="82"/>
      <c r="F167" s="82"/>
      <c r="G167" s="83"/>
      <c r="H167" s="82"/>
      <c r="I167" s="83">
        <f t="shared" si="7"/>
        <v>0</v>
      </c>
      <c r="J167" s="82"/>
      <c r="K167" s="95" t="str">
        <f t="shared" si="6"/>
        <v/>
      </c>
    </row>
    <row r="168" spans="2:11" ht="30" x14ac:dyDescent="0.25">
      <c r="B168" s="63">
        <v>158</v>
      </c>
      <c r="C168" s="97" t="s">
        <v>457</v>
      </c>
      <c r="D168" s="82">
        <v>100</v>
      </c>
      <c r="E168" s="82" t="s">
        <v>308</v>
      </c>
      <c r="F168" s="82">
        <f>D168*G168/5</f>
        <v>41.86</v>
      </c>
      <c r="G168" s="83">
        <f>0.0046*91*5</f>
        <v>2.093</v>
      </c>
      <c r="H168" s="82" t="s">
        <v>308</v>
      </c>
      <c r="I168" s="83">
        <f t="shared" si="7"/>
        <v>2.42788</v>
      </c>
      <c r="J168" s="82">
        <v>5</v>
      </c>
      <c r="K168" s="95" t="str">
        <f t="shared" si="6"/>
        <v>5ml</v>
      </c>
    </row>
    <row r="169" spans="2:11" x14ac:dyDescent="0.25">
      <c r="B169" s="63">
        <v>56</v>
      </c>
      <c r="C169" s="67" t="s">
        <v>458</v>
      </c>
      <c r="D169" s="82"/>
      <c r="E169" s="82"/>
      <c r="F169" s="82"/>
      <c r="G169" s="83">
        <v>1.53</v>
      </c>
      <c r="H169" s="82" t="s">
        <v>244</v>
      </c>
      <c r="I169" s="83">
        <f t="shared" si="7"/>
        <v>1.7747999999999999</v>
      </c>
      <c r="J169" s="82">
        <v>1</v>
      </c>
      <c r="K169" s="95" t="str">
        <f t="shared" si="6"/>
        <v>1tab</v>
      </c>
    </row>
    <row r="170" spans="2:11" x14ac:dyDescent="0.25">
      <c r="C170" s="86" t="s">
        <v>799</v>
      </c>
      <c r="D170" s="82"/>
      <c r="E170" s="82"/>
      <c r="F170" s="82"/>
      <c r="G170" s="83">
        <v>2</v>
      </c>
      <c r="H170" s="82" t="s">
        <v>244</v>
      </c>
      <c r="I170" s="83">
        <f t="shared" ref="I170" si="8">((SUM($G$2:$G$4)*G170)+G170)</f>
        <v>2.3199999999999998</v>
      </c>
      <c r="J170" s="82"/>
      <c r="K170" s="98" t="s">
        <v>542</v>
      </c>
    </row>
    <row r="171" spans="2:11" x14ac:dyDescent="0.25">
      <c r="B171" s="63">
        <v>55</v>
      </c>
      <c r="C171" s="67" t="s">
        <v>459</v>
      </c>
      <c r="D171" s="82">
        <v>120</v>
      </c>
      <c r="E171" s="82" t="s">
        <v>308</v>
      </c>
      <c r="F171" s="82">
        <f>1.95*91</f>
        <v>177.45</v>
      </c>
      <c r="G171" s="83">
        <f>F171/D171*5</f>
        <v>7.3937499999999998</v>
      </c>
      <c r="H171" s="82" t="s">
        <v>308</v>
      </c>
      <c r="I171" s="83">
        <f t="shared" si="7"/>
        <v>8.5767500000000005</v>
      </c>
      <c r="J171" s="82">
        <v>5</v>
      </c>
      <c r="K171" s="95" t="str">
        <f t="shared" si="6"/>
        <v>5ml</v>
      </c>
    </row>
    <row r="172" spans="2:11" x14ac:dyDescent="0.25">
      <c r="C172" s="67" t="s">
        <v>460</v>
      </c>
      <c r="D172" s="82"/>
      <c r="E172" s="82"/>
      <c r="F172" s="82"/>
      <c r="G172" s="83">
        <f>0.0235*91</f>
        <v>2.1385000000000001</v>
      </c>
      <c r="H172" s="82" t="s">
        <v>244</v>
      </c>
      <c r="I172" s="83">
        <f t="shared" si="7"/>
        <v>2.4806600000000003</v>
      </c>
      <c r="J172" s="82">
        <v>1</v>
      </c>
      <c r="K172" s="95" t="str">
        <f t="shared" si="6"/>
        <v>1tab</v>
      </c>
    </row>
    <row r="173" spans="2:11" x14ac:dyDescent="0.25">
      <c r="C173" s="86" t="s">
        <v>525</v>
      </c>
      <c r="D173" s="82"/>
      <c r="E173" s="82"/>
      <c r="F173" s="82"/>
      <c r="G173" s="83">
        <v>0.5</v>
      </c>
      <c r="H173" s="82"/>
      <c r="I173" s="83">
        <f t="shared" si="7"/>
        <v>0.57999999999999996</v>
      </c>
      <c r="J173" s="82"/>
      <c r="K173" s="98" t="s">
        <v>527</v>
      </c>
    </row>
    <row r="174" spans="2:11" x14ac:dyDescent="0.25">
      <c r="C174" s="86" t="s">
        <v>526</v>
      </c>
      <c r="D174" s="82"/>
      <c r="E174" s="82"/>
      <c r="F174" s="82"/>
      <c r="G174" s="83">
        <v>10</v>
      </c>
      <c r="H174" s="82"/>
      <c r="I174" s="83">
        <f t="shared" si="7"/>
        <v>11.6</v>
      </c>
      <c r="J174" s="82"/>
      <c r="K174" s="98" t="s">
        <v>527</v>
      </c>
    </row>
    <row r="175" spans="2:11" x14ac:dyDescent="0.25">
      <c r="C175" s="86" t="s">
        <v>941</v>
      </c>
      <c r="D175" s="82"/>
      <c r="E175" s="82"/>
      <c r="F175" s="82"/>
      <c r="G175" s="83">
        <v>2.8</v>
      </c>
      <c r="H175" s="82"/>
      <c r="I175" s="83">
        <f t="shared" si="7"/>
        <v>3.2479999999999998</v>
      </c>
      <c r="J175" s="82"/>
      <c r="K175" s="98" t="s">
        <v>942</v>
      </c>
    </row>
    <row r="176" spans="2:11" x14ac:dyDescent="0.25">
      <c r="C176" s="86" t="s">
        <v>541</v>
      </c>
      <c r="D176" s="82"/>
      <c r="E176" s="82"/>
      <c r="F176" s="82"/>
      <c r="G176" s="83">
        <v>18</v>
      </c>
      <c r="H176" s="82"/>
      <c r="I176" s="83">
        <f t="shared" si="7"/>
        <v>20.88</v>
      </c>
      <c r="J176" s="82"/>
      <c r="K176" s="98" t="s">
        <v>542</v>
      </c>
    </row>
    <row r="177" spans="3:11" x14ac:dyDescent="0.25">
      <c r="C177" s="184"/>
      <c r="D177" s="184"/>
      <c r="E177" s="184"/>
      <c r="F177" s="184"/>
      <c r="G177" s="184"/>
      <c r="H177" s="184"/>
      <c r="I177" s="184"/>
      <c r="J177" s="184"/>
      <c r="K177" s="184"/>
    </row>
    <row r="181" spans="3:11" x14ac:dyDescent="0.25">
      <c r="C181" s="99" t="s">
        <v>10</v>
      </c>
    </row>
  </sheetData>
  <sheetProtection sheet="1" objects="1" scenarios="1"/>
  <mergeCells count="9">
    <mergeCell ref="C6:K6"/>
    <mergeCell ref="F7:I7"/>
    <mergeCell ref="D4:F4"/>
    <mergeCell ref="D2:F2"/>
    <mergeCell ref="C2:C4"/>
    <mergeCell ref="D3:F3"/>
    <mergeCell ref="D7:E7"/>
    <mergeCell ref="C7:C8"/>
    <mergeCell ref="K7:K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4"/>
  <dimension ref="B2:G65"/>
  <sheetViews>
    <sheetView showGridLines="0" zoomScale="130" zoomScaleNormal="130" workbookViewId="0">
      <selection activeCell="F14" sqref="F14 J14"/>
    </sheetView>
  </sheetViews>
  <sheetFormatPr defaultRowHeight="15" x14ac:dyDescent="0.25"/>
  <cols>
    <col min="1" max="1" width="9.140625" style="63"/>
    <col min="2" max="2" width="0" style="63" hidden="1" customWidth="1"/>
    <col min="3" max="3" width="66.85546875" style="63" customWidth="1"/>
    <col min="4" max="4" width="7.7109375" style="63" customWidth="1"/>
    <col min="5" max="5" width="8.5703125" style="63" bestFit="1" customWidth="1"/>
    <col min="6" max="6" width="8.85546875" style="63" customWidth="1"/>
    <col min="7" max="7" width="8.5703125" style="63" customWidth="1"/>
    <col min="8" max="16384" width="9.140625" style="63"/>
  </cols>
  <sheetData>
    <row r="2" spans="2:7" x14ac:dyDescent="0.25">
      <c r="C2" s="270" t="s">
        <v>507</v>
      </c>
      <c r="D2" s="275" t="s">
        <v>508</v>
      </c>
      <c r="E2" s="276"/>
      <c r="F2" s="277"/>
      <c r="G2" s="205">
        <v>0.05</v>
      </c>
    </row>
    <row r="3" spans="2:7" x14ac:dyDescent="0.25">
      <c r="C3" s="272"/>
      <c r="D3" s="275" t="s">
        <v>509</v>
      </c>
      <c r="E3" s="276"/>
      <c r="F3" s="277"/>
      <c r="G3" s="205">
        <v>0.05</v>
      </c>
    </row>
    <row r="5" spans="2:7" ht="15.75" x14ac:dyDescent="0.25">
      <c r="C5" s="236" t="s">
        <v>510</v>
      </c>
      <c r="D5" s="236"/>
      <c r="E5" s="236"/>
      <c r="F5" s="236"/>
      <c r="G5" s="236"/>
    </row>
    <row r="6" spans="2:7" x14ac:dyDescent="0.25">
      <c r="C6" s="273" t="s">
        <v>0</v>
      </c>
      <c r="D6" s="240" t="s">
        <v>466</v>
      </c>
      <c r="E6" s="241"/>
      <c r="F6" s="240" t="s">
        <v>467</v>
      </c>
      <c r="G6" s="241"/>
    </row>
    <row r="7" spans="2:7" ht="30" x14ac:dyDescent="0.25">
      <c r="C7" s="274"/>
      <c r="D7" s="184" t="s">
        <v>468</v>
      </c>
      <c r="E7" s="184" t="s">
        <v>469</v>
      </c>
      <c r="F7" s="204" t="s">
        <v>469</v>
      </c>
      <c r="G7" s="204" t="s">
        <v>511</v>
      </c>
    </row>
    <row r="8" spans="2:7" x14ac:dyDescent="0.25">
      <c r="B8" s="63">
        <v>1</v>
      </c>
      <c r="C8" s="67" t="s">
        <v>148</v>
      </c>
      <c r="D8" s="67">
        <v>209</v>
      </c>
      <c r="E8" s="67" t="s">
        <v>419</v>
      </c>
      <c r="F8" s="67">
        <v>3</v>
      </c>
      <c r="G8" s="67">
        <f t="shared" ref="G8:G39" si="0">(SUM($G$2:$G$3)*F8)+F8</f>
        <v>3.3</v>
      </c>
    </row>
    <row r="9" spans="2:7" x14ac:dyDescent="0.25">
      <c r="B9" s="63">
        <v>15</v>
      </c>
      <c r="C9" s="67" t="s">
        <v>470</v>
      </c>
      <c r="D9" s="67">
        <v>50</v>
      </c>
      <c r="E9" s="67" t="s">
        <v>419</v>
      </c>
      <c r="F9" s="67">
        <v>5</v>
      </c>
      <c r="G9" s="67">
        <f t="shared" si="0"/>
        <v>5.5</v>
      </c>
    </row>
    <row r="10" spans="2:7" x14ac:dyDescent="0.25">
      <c r="B10" s="63">
        <v>14</v>
      </c>
      <c r="C10" s="67" t="s">
        <v>471</v>
      </c>
      <c r="D10" s="67">
        <v>17</v>
      </c>
      <c r="E10" s="67" t="s">
        <v>472</v>
      </c>
      <c r="F10" s="67">
        <v>17</v>
      </c>
      <c r="G10" s="67">
        <f t="shared" si="0"/>
        <v>18.7</v>
      </c>
    </row>
    <row r="11" spans="2:7" x14ac:dyDescent="0.25">
      <c r="B11" s="63">
        <v>31</v>
      </c>
      <c r="C11" s="86" t="s">
        <v>512</v>
      </c>
      <c r="D11" s="67">
        <v>530</v>
      </c>
      <c r="E11" s="67" t="s">
        <v>494</v>
      </c>
      <c r="F11" s="100">
        <f>D11/12</f>
        <v>44.166666666666664</v>
      </c>
      <c r="G11" s="67">
        <f t="shared" si="0"/>
        <v>48.583333333333329</v>
      </c>
    </row>
    <row r="12" spans="2:7" x14ac:dyDescent="0.25">
      <c r="B12" s="63">
        <v>5</v>
      </c>
      <c r="C12" s="67" t="s">
        <v>149</v>
      </c>
      <c r="D12" s="67">
        <v>35</v>
      </c>
      <c r="E12" s="67" t="s">
        <v>473</v>
      </c>
      <c r="F12" s="67">
        <v>35</v>
      </c>
      <c r="G12" s="67">
        <f t="shared" si="0"/>
        <v>38.5</v>
      </c>
    </row>
    <row r="13" spans="2:7" x14ac:dyDescent="0.25">
      <c r="B13" s="63">
        <v>18</v>
      </c>
      <c r="C13" s="67" t="s">
        <v>151</v>
      </c>
      <c r="D13" s="67"/>
      <c r="E13" s="67"/>
      <c r="F13" s="67"/>
      <c r="G13" s="67">
        <f t="shared" si="0"/>
        <v>0</v>
      </c>
    </row>
    <row r="14" spans="2:7" x14ac:dyDescent="0.25">
      <c r="B14" s="63">
        <v>32</v>
      </c>
      <c r="C14" s="67" t="s">
        <v>152</v>
      </c>
      <c r="D14" s="67"/>
      <c r="E14" s="67"/>
      <c r="F14" s="67"/>
      <c r="G14" s="67">
        <f t="shared" si="0"/>
        <v>0</v>
      </c>
    </row>
    <row r="15" spans="2:7" x14ac:dyDescent="0.25">
      <c r="B15" s="63">
        <v>25</v>
      </c>
      <c r="C15" s="67" t="s">
        <v>474</v>
      </c>
      <c r="D15" s="67"/>
      <c r="E15" s="67"/>
      <c r="F15" s="67"/>
      <c r="G15" s="67">
        <f t="shared" si="0"/>
        <v>0</v>
      </c>
    </row>
    <row r="16" spans="2:7" x14ac:dyDescent="0.25">
      <c r="B16" s="63">
        <v>21</v>
      </c>
      <c r="C16" s="67" t="s">
        <v>475</v>
      </c>
      <c r="D16" s="67">
        <v>55</v>
      </c>
      <c r="E16" s="67" t="s">
        <v>476</v>
      </c>
      <c r="F16" s="67">
        <v>55</v>
      </c>
      <c r="G16" s="67">
        <f t="shared" si="0"/>
        <v>60.5</v>
      </c>
    </row>
    <row r="17" spans="2:7" x14ac:dyDescent="0.25">
      <c r="B17" s="63">
        <v>22</v>
      </c>
      <c r="C17" s="67" t="s">
        <v>477</v>
      </c>
      <c r="D17" s="67">
        <v>11</v>
      </c>
      <c r="E17" s="67" t="s">
        <v>476</v>
      </c>
      <c r="F17" s="67">
        <v>11</v>
      </c>
      <c r="G17" s="67">
        <f t="shared" si="0"/>
        <v>12.1</v>
      </c>
    </row>
    <row r="18" spans="2:7" x14ac:dyDescent="0.25">
      <c r="B18" s="63">
        <v>23</v>
      </c>
      <c r="C18" s="67" t="s">
        <v>478</v>
      </c>
      <c r="D18" s="67">
        <v>15</v>
      </c>
      <c r="E18" s="67" t="s">
        <v>476</v>
      </c>
      <c r="F18" s="67">
        <v>15</v>
      </c>
      <c r="G18" s="67">
        <f t="shared" si="0"/>
        <v>16.5</v>
      </c>
    </row>
    <row r="19" spans="2:7" x14ac:dyDescent="0.25">
      <c r="B19" s="63">
        <v>24</v>
      </c>
      <c r="C19" s="67" t="s">
        <v>479</v>
      </c>
      <c r="D19" s="67"/>
      <c r="E19" s="67"/>
      <c r="F19" s="67"/>
      <c r="G19" s="67">
        <f t="shared" si="0"/>
        <v>0</v>
      </c>
    </row>
    <row r="20" spans="2:7" x14ac:dyDescent="0.25">
      <c r="B20" s="63">
        <v>10</v>
      </c>
      <c r="C20" s="67" t="s">
        <v>480</v>
      </c>
      <c r="D20" s="67"/>
      <c r="E20" s="67"/>
      <c r="F20" s="67"/>
      <c r="G20" s="67">
        <f t="shared" si="0"/>
        <v>0</v>
      </c>
    </row>
    <row r="21" spans="2:7" x14ac:dyDescent="0.25">
      <c r="B21" s="63">
        <v>9</v>
      </c>
      <c r="C21" s="67" t="s">
        <v>481</v>
      </c>
      <c r="D21" s="67">
        <f>F21*20</f>
        <v>60</v>
      </c>
      <c r="E21" s="67" t="s">
        <v>419</v>
      </c>
      <c r="F21" s="67">
        <v>3</v>
      </c>
      <c r="G21" s="67">
        <f t="shared" si="0"/>
        <v>3.3</v>
      </c>
    </row>
    <row r="22" spans="2:7" x14ac:dyDescent="0.25">
      <c r="B22" s="63">
        <v>11</v>
      </c>
      <c r="C22" s="67" t="s">
        <v>150</v>
      </c>
      <c r="D22" s="67">
        <v>14</v>
      </c>
      <c r="E22" s="67" t="s">
        <v>482</v>
      </c>
      <c r="F22" s="67">
        <v>14</v>
      </c>
      <c r="G22" s="67">
        <f t="shared" si="0"/>
        <v>15.4</v>
      </c>
    </row>
    <row r="23" spans="2:7" x14ac:dyDescent="0.25">
      <c r="B23" s="63">
        <v>63</v>
      </c>
      <c r="C23" s="67" t="s">
        <v>483</v>
      </c>
      <c r="D23" s="67">
        <v>402</v>
      </c>
      <c r="E23" s="67" t="s">
        <v>484</v>
      </c>
      <c r="F23" s="67">
        <f>D23/100</f>
        <v>4.0199999999999996</v>
      </c>
      <c r="G23" s="67">
        <f t="shared" si="0"/>
        <v>4.4219999999999997</v>
      </c>
    </row>
    <row r="24" spans="2:7" x14ac:dyDescent="0.25">
      <c r="B24" s="63">
        <v>46</v>
      </c>
      <c r="C24" s="67" t="s">
        <v>155</v>
      </c>
      <c r="D24" s="67">
        <v>38.5</v>
      </c>
      <c r="E24" s="67" t="s">
        <v>485</v>
      </c>
      <c r="F24" s="67">
        <v>38.5</v>
      </c>
      <c r="G24" s="67">
        <f t="shared" si="0"/>
        <v>42.35</v>
      </c>
    </row>
    <row r="25" spans="2:7" x14ac:dyDescent="0.25">
      <c r="B25" s="63">
        <v>51</v>
      </c>
      <c r="C25" s="67" t="s">
        <v>156</v>
      </c>
      <c r="D25" s="67">
        <v>39.75</v>
      </c>
      <c r="E25" s="67" t="s">
        <v>485</v>
      </c>
      <c r="F25" s="67">
        <v>39.75</v>
      </c>
      <c r="G25" s="67">
        <f t="shared" si="0"/>
        <v>43.725000000000001</v>
      </c>
    </row>
    <row r="26" spans="2:7" x14ac:dyDescent="0.25">
      <c r="B26" s="63">
        <v>56</v>
      </c>
      <c r="C26" s="67" t="s">
        <v>157</v>
      </c>
      <c r="D26" s="67">
        <v>55</v>
      </c>
      <c r="E26" s="67" t="s">
        <v>485</v>
      </c>
      <c r="F26" s="67">
        <v>55</v>
      </c>
      <c r="G26" s="67">
        <f t="shared" si="0"/>
        <v>60.5</v>
      </c>
    </row>
    <row r="27" spans="2:7" x14ac:dyDescent="0.25">
      <c r="B27" s="63">
        <v>41</v>
      </c>
      <c r="C27" s="67" t="s">
        <v>486</v>
      </c>
      <c r="D27" s="67">
        <v>106</v>
      </c>
      <c r="E27" s="67" t="s">
        <v>484</v>
      </c>
      <c r="F27" s="67">
        <f t="shared" ref="F27:F32" si="1">D27/100</f>
        <v>1.06</v>
      </c>
      <c r="G27" s="67">
        <f t="shared" si="0"/>
        <v>1.1660000000000001</v>
      </c>
    </row>
    <row r="28" spans="2:7" x14ac:dyDescent="0.25">
      <c r="B28" s="63">
        <v>42</v>
      </c>
      <c r="C28" s="67" t="s">
        <v>487</v>
      </c>
      <c r="D28" s="67">
        <v>100</v>
      </c>
      <c r="E28" s="67" t="s">
        <v>484</v>
      </c>
      <c r="F28" s="67">
        <f t="shared" si="1"/>
        <v>1</v>
      </c>
      <c r="G28" s="67">
        <f t="shared" si="0"/>
        <v>1.1000000000000001</v>
      </c>
    </row>
    <row r="29" spans="2:7" x14ac:dyDescent="0.25">
      <c r="B29" s="63">
        <v>43</v>
      </c>
      <c r="C29" s="67" t="s">
        <v>488</v>
      </c>
      <c r="D29" s="67">
        <v>131</v>
      </c>
      <c r="E29" s="67" t="s">
        <v>484</v>
      </c>
      <c r="F29" s="67">
        <f t="shared" si="1"/>
        <v>1.31</v>
      </c>
      <c r="G29" s="67">
        <f t="shared" si="0"/>
        <v>1.4410000000000001</v>
      </c>
    </row>
    <row r="30" spans="2:7" x14ac:dyDescent="0.25">
      <c r="B30" s="63">
        <v>44</v>
      </c>
      <c r="C30" s="67" t="s">
        <v>489</v>
      </c>
      <c r="D30" s="67">
        <v>101</v>
      </c>
      <c r="E30" s="67" t="s">
        <v>484</v>
      </c>
      <c r="F30" s="67">
        <f t="shared" si="1"/>
        <v>1.01</v>
      </c>
      <c r="G30" s="67">
        <f t="shared" si="0"/>
        <v>1.111</v>
      </c>
    </row>
    <row r="31" spans="2:7" x14ac:dyDescent="0.25">
      <c r="B31" s="63">
        <v>45</v>
      </c>
      <c r="C31" s="67" t="s">
        <v>490</v>
      </c>
      <c r="D31" s="67">
        <v>97</v>
      </c>
      <c r="E31" s="67" t="s">
        <v>484</v>
      </c>
      <c r="F31" s="67">
        <f t="shared" si="1"/>
        <v>0.97</v>
      </c>
      <c r="G31" s="67">
        <f t="shared" si="0"/>
        <v>1.0669999999999999</v>
      </c>
    </row>
    <row r="32" spans="2:7" x14ac:dyDescent="0.25">
      <c r="B32" s="63">
        <v>40</v>
      </c>
      <c r="C32" s="67" t="s">
        <v>491</v>
      </c>
      <c r="D32" s="67">
        <v>100</v>
      </c>
      <c r="E32" s="67" t="s">
        <v>484</v>
      </c>
      <c r="F32" s="67">
        <f t="shared" si="1"/>
        <v>1</v>
      </c>
      <c r="G32" s="67">
        <f t="shared" si="0"/>
        <v>1.1000000000000001</v>
      </c>
    </row>
    <row r="33" spans="2:7" x14ac:dyDescent="0.25">
      <c r="B33" s="63">
        <v>61</v>
      </c>
      <c r="C33" s="67" t="s">
        <v>492</v>
      </c>
      <c r="D33" s="67">
        <f>4.72*50</f>
        <v>236</v>
      </c>
      <c r="E33" s="67" t="s">
        <v>484</v>
      </c>
      <c r="F33" s="67">
        <f>D33/50</f>
        <v>4.72</v>
      </c>
      <c r="G33" s="67">
        <f t="shared" si="0"/>
        <v>5.1920000000000002</v>
      </c>
    </row>
    <row r="34" spans="2:7" x14ac:dyDescent="0.25">
      <c r="B34" s="63">
        <v>69</v>
      </c>
      <c r="C34" s="67" t="s">
        <v>493</v>
      </c>
      <c r="D34" s="67"/>
      <c r="E34" s="67"/>
      <c r="F34" s="67"/>
      <c r="G34" s="67">
        <f t="shared" si="0"/>
        <v>0</v>
      </c>
    </row>
    <row r="35" spans="2:7" x14ac:dyDescent="0.25">
      <c r="B35" s="63">
        <v>33</v>
      </c>
      <c r="C35" s="67" t="s">
        <v>153</v>
      </c>
      <c r="D35" s="67">
        <v>320</v>
      </c>
      <c r="E35" s="67" t="s">
        <v>494</v>
      </c>
      <c r="F35" s="67">
        <f>D35/12</f>
        <v>26.666666666666668</v>
      </c>
      <c r="G35" s="67">
        <f t="shared" si="0"/>
        <v>29.333333333333336</v>
      </c>
    </row>
    <row r="36" spans="2:7" x14ac:dyDescent="0.25">
      <c r="B36" s="63">
        <v>27</v>
      </c>
      <c r="C36" s="67" t="s">
        <v>495</v>
      </c>
      <c r="D36" s="67">
        <v>12</v>
      </c>
      <c r="E36" s="67"/>
      <c r="F36" s="67">
        <v>12</v>
      </c>
      <c r="G36" s="67">
        <f t="shared" si="0"/>
        <v>13.2</v>
      </c>
    </row>
    <row r="37" spans="2:7" x14ac:dyDescent="0.25">
      <c r="B37" s="63">
        <v>28</v>
      </c>
      <c r="C37" s="67" t="s">
        <v>496</v>
      </c>
      <c r="D37" s="67">
        <v>12</v>
      </c>
      <c r="E37" s="67"/>
      <c r="F37" s="67">
        <v>12</v>
      </c>
      <c r="G37" s="67">
        <f t="shared" si="0"/>
        <v>13.2</v>
      </c>
    </row>
    <row r="38" spans="2:7" x14ac:dyDescent="0.25">
      <c r="B38" s="63">
        <v>29</v>
      </c>
      <c r="C38" s="67" t="s">
        <v>497</v>
      </c>
      <c r="D38" s="67">
        <v>12</v>
      </c>
      <c r="E38" s="67"/>
      <c r="F38" s="67">
        <v>12</v>
      </c>
      <c r="G38" s="67">
        <f t="shared" si="0"/>
        <v>13.2</v>
      </c>
    </row>
    <row r="39" spans="2:7" x14ac:dyDescent="0.25">
      <c r="B39" s="63">
        <v>26</v>
      </c>
      <c r="C39" s="67" t="s">
        <v>498</v>
      </c>
      <c r="D39" s="67">
        <v>11</v>
      </c>
      <c r="E39" s="67"/>
      <c r="F39" s="67">
        <v>11</v>
      </c>
      <c r="G39" s="67">
        <f t="shared" si="0"/>
        <v>12.1</v>
      </c>
    </row>
    <row r="40" spans="2:7" x14ac:dyDescent="0.25">
      <c r="B40" s="63">
        <v>36</v>
      </c>
      <c r="C40" s="67" t="s">
        <v>499</v>
      </c>
      <c r="D40" s="67">
        <v>400</v>
      </c>
      <c r="E40" s="67" t="s">
        <v>484</v>
      </c>
      <c r="F40" s="67">
        <f>D40/100</f>
        <v>4</v>
      </c>
      <c r="G40" s="67">
        <f t="shared" ref="G40:G64" si="2">(SUM($G$2:$G$3)*F40)+F40</f>
        <v>4.4000000000000004</v>
      </c>
    </row>
    <row r="41" spans="2:7" x14ac:dyDescent="0.25">
      <c r="B41" s="63">
        <v>39</v>
      </c>
      <c r="C41" s="86" t="s">
        <v>503</v>
      </c>
      <c r="D41" s="67"/>
      <c r="E41" s="67"/>
      <c r="F41" s="67"/>
      <c r="G41" s="67">
        <f t="shared" si="2"/>
        <v>0</v>
      </c>
    </row>
    <row r="42" spans="2:7" x14ac:dyDescent="0.25">
      <c r="B42" s="63">
        <v>38</v>
      </c>
      <c r="C42" s="86" t="s">
        <v>502</v>
      </c>
      <c r="D42" s="67"/>
      <c r="E42" s="67"/>
      <c r="F42" s="67"/>
      <c r="G42" s="67">
        <f t="shared" si="2"/>
        <v>0</v>
      </c>
    </row>
    <row r="43" spans="2:7" x14ac:dyDescent="0.25">
      <c r="B43" s="63">
        <v>37</v>
      </c>
      <c r="C43" s="86" t="s">
        <v>798</v>
      </c>
      <c r="D43" s="67">
        <v>318</v>
      </c>
      <c r="E43" s="67" t="s">
        <v>484</v>
      </c>
      <c r="F43" s="67">
        <v>3.18</v>
      </c>
      <c r="G43" s="67">
        <f t="shared" si="2"/>
        <v>3.4980000000000002</v>
      </c>
    </row>
    <row r="44" spans="2:7" x14ac:dyDescent="0.25">
      <c r="B44" s="63">
        <v>67</v>
      </c>
      <c r="C44" s="67" t="s">
        <v>500</v>
      </c>
      <c r="D44" s="67">
        <v>30.2</v>
      </c>
      <c r="E44" s="67" t="s">
        <v>473</v>
      </c>
      <c r="F44" s="67">
        <v>5</v>
      </c>
      <c r="G44" s="67">
        <f t="shared" si="2"/>
        <v>5.5</v>
      </c>
    </row>
    <row r="45" spans="2:7" x14ac:dyDescent="0.25">
      <c r="B45" s="63">
        <v>77</v>
      </c>
      <c r="C45" s="67" t="s">
        <v>501</v>
      </c>
      <c r="D45" s="67">
        <v>245</v>
      </c>
      <c r="E45" s="67" t="s">
        <v>484</v>
      </c>
      <c r="F45" s="67">
        <f>D45/500</f>
        <v>0.49</v>
      </c>
      <c r="G45" s="67">
        <f t="shared" si="2"/>
        <v>0.53900000000000003</v>
      </c>
    </row>
    <row r="46" spans="2:7" x14ac:dyDescent="0.25">
      <c r="C46" s="67" t="s">
        <v>154</v>
      </c>
      <c r="D46" s="67">
        <v>1690</v>
      </c>
      <c r="E46" s="67" t="s">
        <v>494</v>
      </c>
      <c r="F46" s="67">
        <f>D46/12</f>
        <v>140.83333333333334</v>
      </c>
      <c r="G46" s="67">
        <f t="shared" si="2"/>
        <v>154.91666666666669</v>
      </c>
    </row>
    <row r="47" spans="2:7" x14ac:dyDescent="0.25">
      <c r="C47" s="86" t="s">
        <v>301</v>
      </c>
      <c r="D47" s="67"/>
      <c r="E47" s="67"/>
      <c r="F47" s="67">
        <v>4</v>
      </c>
      <c r="G47" s="67">
        <f t="shared" si="2"/>
        <v>4.4000000000000004</v>
      </c>
    </row>
    <row r="48" spans="2:7" x14ac:dyDescent="0.25">
      <c r="C48" s="86" t="s">
        <v>514</v>
      </c>
      <c r="D48" s="67"/>
      <c r="E48" s="86"/>
      <c r="F48" s="100">
        <v>50</v>
      </c>
      <c r="G48" s="67">
        <f t="shared" si="2"/>
        <v>55</v>
      </c>
    </row>
    <row r="49" spans="2:7" x14ac:dyDescent="0.25">
      <c r="C49" s="86" t="s">
        <v>524</v>
      </c>
      <c r="D49" s="67"/>
      <c r="E49" s="67"/>
      <c r="F49" s="67">
        <v>4.5</v>
      </c>
      <c r="G49" s="67">
        <f t="shared" si="2"/>
        <v>4.95</v>
      </c>
    </row>
    <row r="50" spans="2:7" x14ac:dyDescent="0.25">
      <c r="C50" s="67"/>
      <c r="D50" s="67"/>
      <c r="E50" s="67"/>
      <c r="F50" s="67"/>
      <c r="G50" s="67">
        <f t="shared" si="2"/>
        <v>0</v>
      </c>
    </row>
    <row r="51" spans="2:7" x14ac:dyDescent="0.25">
      <c r="C51" s="67"/>
      <c r="D51" s="67"/>
      <c r="E51" s="67"/>
      <c r="F51" s="67"/>
      <c r="G51" s="67">
        <f t="shared" si="2"/>
        <v>0</v>
      </c>
    </row>
    <row r="52" spans="2:7" x14ac:dyDescent="0.25">
      <c r="C52" s="67"/>
      <c r="D52" s="67"/>
      <c r="E52" s="67"/>
      <c r="F52" s="67"/>
      <c r="G52" s="67">
        <f t="shared" si="2"/>
        <v>0</v>
      </c>
    </row>
    <row r="53" spans="2:7" x14ac:dyDescent="0.25">
      <c r="C53" s="67"/>
      <c r="D53" s="67"/>
      <c r="E53" s="67"/>
      <c r="F53" s="67"/>
      <c r="G53" s="67">
        <f t="shared" si="2"/>
        <v>0</v>
      </c>
    </row>
    <row r="54" spans="2:7" x14ac:dyDescent="0.25">
      <c r="C54" s="67"/>
      <c r="D54" s="67"/>
      <c r="E54" s="67"/>
      <c r="F54" s="67"/>
      <c r="G54" s="67">
        <f t="shared" si="2"/>
        <v>0</v>
      </c>
    </row>
    <row r="55" spans="2:7" x14ac:dyDescent="0.25">
      <c r="C55" s="67"/>
      <c r="D55" s="67"/>
      <c r="E55" s="67"/>
      <c r="F55" s="67"/>
      <c r="G55" s="67">
        <f t="shared" si="2"/>
        <v>0</v>
      </c>
    </row>
    <row r="56" spans="2:7" x14ac:dyDescent="0.25">
      <c r="C56" s="67"/>
      <c r="D56" s="67"/>
      <c r="E56" s="67"/>
      <c r="F56" s="67"/>
      <c r="G56" s="67">
        <f t="shared" si="2"/>
        <v>0</v>
      </c>
    </row>
    <row r="57" spans="2:7" x14ac:dyDescent="0.25">
      <c r="C57" s="67"/>
      <c r="D57" s="67"/>
      <c r="E57" s="67"/>
      <c r="F57" s="67"/>
      <c r="G57" s="67">
        <f t="shared" si="2"/>
        <v>0</v>
      </c>
    </row>
    <row r="58" spans="2:7" x14ac:dyDescent="0.25">
      <c r="C58" s="67"/>
      <c r="D58" s="67"/>
      <c r="E58" s="67"/>
      <c r="F58" s="67"/>
      <c r="G58" s="67">
        <f t="shared" si="2"/>
        <v>0</v>
      </c>
    </row>
    <row r="59" spans="2:7" x14ac:dyDescent="0.25">
      <c r="C59" s="67"/>
      <c r="D59" s="67"/>
      <c r="E59" s="67"/>
      <c r="F59" s="67"/>
      <c r="G59" s="67">
        <f t="shared" si="2"/>
        <v>0</v>
      </c>
    </row>
    <row r="60" spans="2:7" x14ac:dyDescent="0.25">
      <c r="C60" s="67"/>
      <c r="D60" s="67"/>
      <c r="E60" s="67"/>
      <c r="F60" s="67"/>
      <c r="G60" s="67">
        <f t="shared" si="2"/>
        <v>0</v>
      </c>
    </row>
    <row r="61" spans="2:7" x14ac:dyDescent="0.25">
      <c r="C61" s="67"/>
      <c r="D61" s="67"/>
      <c r="E61" s="67"/>
      <c r="F61" s="67"/>
      <c r="G61" s="67">
        <f t="shared" si="2"/>
        <v>0</v>
      </c>
    </row>
    <row r="62" spans="2:7" x14ac:dyDescent="0.25">
      <c r="C62" s="67"/>
      <c r="D62" s="67"/>
      <c r="E62" s="67"/>
      <c r="F62" s="67"/>
      <c r="G62" s="67">
        <f t="shared" si="2"/>
        <v>0</v>
      </c>
    </row>
    <row r="63" spans="2:7" x14ac:dyDescent="0.25">
      <c r="C63" s="67"/>
      <c r="D63" s="67"/>
      <c r="E63" s="67"/>
      <c r="F63" s="67"/>
      <c r="G63" s="67">
        <f t="shared" si="2"/>
        <v>0</v>
      </c>
    </row>
    <row r="64" spans="2:7" x14ac:dyDescent="0.25">
      <c r="B64" s="63">
        <v>34</v>
      </c>
      <c r="C64" s="67"/>
      <c r="D64" s="67"/>
      <c r="E64" s="67"/>
      <c r="F64" s="67"/>
      <c r="G64" s="67">
        <f t="shared" si="2"/>
        <v>0</v>
      </c>
    </row>
    <row r="65" spans="3:7" x14ac:dyDescent="0.25">
      <c r="C65" s="184"/>
      <c r="D65" s="184"/>
      <c r="E65" s="184"/>
      <c r="F65" s="184"/>
      <c r="G65" s="184"/>
    </row>
  </sheetData>
  <sheetProtection sheet="1" objects="1" scenarios="1"/>
  <mergeCells count="7">
    <mergeCell ref="C5:G5"/>
    <mergeCell ref="F6:G6"/>
    <mergeCell ref="C2:C3"/>
    <mergeCell ref="D2:F2"/>
    <mergeCell ref="D3:F3"/>
    <mergeCell ref="C6:C7"/>
    <mergeCell ref="D6:E6"/>
  </mergeCells>
  <pageMargins left="0.7" right="0.7" top="0.75" bottom="0.75" header="0.3" footer="0.3"/>
  <legacy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3:I48"/>
  <sheetViews>
    <sheetView showGridLines="0" workbookViewId="0">
      <selection activeCell="F14" sqref="F14 J14"/>
    </sheetView>
  </sheetViews>
  <sheetFormatPr defaultRowHeight="15" x14ac:dyDescent="0.25"/>
  <cols>
    <col min="1" max="1" width="9.140625" style="63"/>
    <col min="2" max="2" width="0" style="63" hidden="1" customWidth="1"/>
    <col min="3" max="3" width="44.7109375" style="63" hidden="1" customWidth="1"/>
    <col min="4" max="7" width="0" style="63" hidden="1" customWidth="1"/>
    <col min="8" max="8" width="43.28515625" style="63" bestFit="1" customWidth="1"/>
    <col min="9" max="9" width="12.85546875" style="63" customWidth="1"/>
    <col min="10" max="16384" width="9.140625" style="63"/>
  </cols>
  <sheetData>
    <row r="3" spans="2:9" x14ac:dyDescent="0.25">
      <c r="B3" s="101" t="s">
        <v>19</v>
      </c>
      <c r="C3" s="102" t="s">
        <v>164</v>
      </c>
      <c r="D3" s="63" t="s">
        <v>165</v>
      </c>
      <c r="E3" s="63" t="s">
        <v>166</v>
      </c>
      <c r="F3" s="102" t="s">
        <v>167</v>
      </c>
    </row>
    <row r="4" spans="2:9" ht="15.75" x14ac:dyDescent="0.25">
      <c r="B4" s="103">
        <v>1</v>
      </c>
      <c r="C4" s="104" t="s">
        <v>168</v>
      </c>
      <c r="H4" s="236" t="s">
        <v>645</v>
      </c>
      <c r="I4" s="236"/>
    </row>
    <row r="5" spans="2:9" x14ac:dyDescent="0.25">
      <c r="B5" s="105" t="s">
        <v>169</v>
      </c>
      <c r="C5" s="106" t="s">
        <v>170</v>
      </c>
      <c r="H5" s="186" t="s">
        <v>644</v>
      </c>
      <c r="I5" s="184" t="s">
        <v>463</v>
      </c>
    </row>
    <row r="6" spans="2:9" x14ac:dyDescent="0.25">
      <c r="B6" s="107" t="s">
        <v>171</v>
      </c>
      <c r="C6" s="108" t="s">
        <v>172</v>
      </c>
      <c r="D6" s="63" t="s">
        <v>173</v>
      </c>
      <c r="E6" s="63" t="s">
        <v>173</v>
      </c>
      <c r="F6" s="87">
        <v>5</v>
      </c>
      <c r="G6" s="63">
        <v>1</v>
      </c>
      <c r="H6" s="67" t="str">
        <f t="shared" ref="H6:H17" si="0">C6</f>
        <v>Hemoglobin</v>
      </c>
      <c r="I6" s="67">
        <f>F6</f>
        <v>5</v>
      </c>
    </row>
    <row r="7" spans="2:9" x14ac:dyDescent="0.25">
      <c r="B7" s="107" t="s">
        <v>174</v>
      </c>
      <c r="C7" s="108" t="s">
        <v>175</v>
      </c>
      <c r="D7" s="63" t="s">
        <v>173</v>
      </c>
      <c r="E7" s="63" t="s">
        <v>173</v>
      </c>
      <c r="F7" s="87">
        <v>1.5</v>
      </c>
      <c r="G7" s="63">
        <v>2</v>
      </c>
      <c r="H7" s="67" t="str">
        <f t="shared" si="0"/>
        <v>Red and white blood cell count</v>
      </c>
      <c r="I7" s="67">
        <f>F7</f>
        <v>1.5</v>
      </c>
    </row>
    <row r="8" spans="2:9" x14ac:dyDescent="0.25">
      <c r="B8" s="107" t="s">
        <v>176</v>
      </c>
      <c r="C8" s="108" t="s">
        <v>177</v>
      </c>
      <c r="D8" s="63" t="s">
        <v>173</v>
      </c>
      <c r="E8" s="63" t="s">
        <v>173</v>
      </c>
      <c r="F8" s="87">
        <v>4</v>
      </c>
      <c r="G8" s="63">
        <v>3</v>
      </c>
      <c r="H8" s="67" t="str">
        <f t="shared" si="0"/>
        <v>Differential cell count</v>
      </c>
      <c r="I8" s="67">
        <f>F8</f>
        <v>4</v>
      </c>
    </row>
    <row r="9" spans="2:9" x14ac:dyDescent="0.25">
      <c r="B9" s="107" t="s">
        <v>178</v>
      </c>
      <c r="C9" s="108" t="s">
        <v>179</v>
      </c>
      <c r="E9" s="63" t="s">
        <v>173</v>
      </c>
      <c r="F9" s="87">
        <v>0</v>
      </c>
      <c r="G9" s="63">
        <v>4</v>
      </c>
      <c r="H9" s="67" t="str">
        <f t="shared" si="0"/>
        <v>ESR</v>
      </c>
      <c r="I9" s="67">
        <v>5</v>
      </c>
    </row>
    <row r="10" spans="2:9" x14ac:dyDescent="0.25">
      <c r="B10" s="107" t="s">
        <v>180</v>
      </c>
      <c r="C10" s="108" t="s">
        <v>181</v>
      </c>
      <c r="E10" s="63" t="s">
        <v>173</v>
      </c>
      <c r="G10" s="63">
        <v>5</v>
      </c>
      <c r="H10" s="67" t="str">
        <f t="shared" si="0"/>
        <v>Hematocrit</v>
      </c>
      <c r="I10" s="67">
        <f>F10</f>
        <v>0</v>
      </c>
    </row>
    <row r="11" spans="2:9" x14ac:dyDescent="0.25">
      <c r="B11" s="107" t="s">
        <v>182</v>
      </c>
      <c r="C11" s="108" t="s">
        <v>183</v>
      </c>
      <c r="D11" s="63" t="s">
        <v>173</v>
      </c>
      <c r="E11" s="63" t="s">
        <v>173</v>
      </c>
      <c r="F11" s="87">
        <v>0</v>
      </c>
      <c r="G11" s="63">
        <v>6</v>
      </c>
      <c r="H11" s="67" t="str">
        <f t="shared" si="0"/>
        <v>Malaria parasite smear (MPS)</v>
      </c>
      <c r="I11" s="67">
        <v>5</v>
      </c>
    </row>
    <row r="12" spans="2:9" x14ac:dyDescent="0.25">
      <c r="B12" s="107" t="s">
        <v>184</v>
      </c>
      <c r="C12" s="108" t="s">
        <v>185</v>
      </c>
      <c r="E12" s="63" t="s">
        <v>173</v>
      </c>
      <c r="F12" s="87">
        <v>2</v>
      </c>
      <c r="G12" s="63">
        <v>7</v>
      </c>
      <c r="H12" s="67" t="str">
        <f t="shared" si="0"/>
        <v>Bleeding time and coagulation time</v>
      </c>
      <c r="I12" s="67">
        <f t="shared" ref="I12:I17" si="1">F12</f>
        <v>2</v>
      </c>
    </row>
    <row r="13" spans="2:9" x14ac:dyDescent="0.25">
      <c r="B13" s="107" t="s">
        <v>186</v>
      </c>
      <c r="C13" s="108" t="s">
        <v>187</v>
      </c>
      <c r="E13" s="63" t="s">
        <v>173</v>
      </c>
      <c r="F13" s="87">
        <v>5</v>
      </c>
      <c r="G13" s="63">
        <v>8</v>
      </c>
      <c r="H13" s="67" t="str">
        <f t="shared" si="0"/>
        <v>Blood grouping and Rh factors</v>
      </c>
      <c r="I13" s="67">
        <f t="shared" si="1"/>
        <v>5</v>
      </c>
    </row>
    <row r="14" spans="2:9" x14ac:dyDescent="0.25">
      <c r="B14" s="107" t="s">
        <v>188</v>
      </c>
      <c r="C14" s="108" t="s">
        <v>189</v>
      </c>
      <c r="E14" s="63" t="s">
        <v>173</v>
      </c>
      <c r="F14" s="87">
        <v>14</v>
      </c>
      <c r="G14" s="63">
        <v>9</v>
      </c>
      <c r="H14" s="67" t="str">
        <f t="shared" si="0"/>
        <v xml:space="preserve">Hepatitis B </v>
      </c>
      <c r="I14" s="67">
        <f t="shared" si="1"/>
        <v>14</v>
      </c>
    </row>
    <row r="15" spans="2:9" x14ac:dyDescent="0.25">
      <c r="B15" s="107"/>
      <c r="C15" s="108" t="s">
        <v>190</v>
      </c>
      <c r="F15" s="87">
        <v>24</v>
      </c>
      <c r="G15" s="63">
        <v>10</v>
      </c>
      <c r="H15" s="67" t="str">
        <f t="shared" si="0"/>
        <v>Hepatitis C</v>
      </c>
      <c r="I15" s="67">
        <f t="shared" si="1"/>
        <v>24</v>
      </c>
    </row>
    <row r="16" spans="2:9" x14ac:dyDescent="0.25">
      <c r="B16" s="107"/>
      <c r="C16" s="108" t="s">
        <v>191</v>
      </c>
      <c r="F16" s="87">
        <v>30</v>
      </c>
      <c r="G16" s="63">
        <v>11</v>
      </c>
      <c r="H16" s="67" t="str">
        <f t="shared" si="0"/>
        <v>Syphilis</v>
      </c>
      <c r="I16" s="67">
        <f t="shared" si="1"/>
        <v>30</v>
      </c>
    </row>
    <row r="17" spans="2:9" x14ac:dyDescent="0.25">
      <c r="B17" s="107" t="s">
        <v>27</v>
      </c>
      <c r="C17" s="108" t="s">
        <v>192</v>
      </c>
      <c r="E17" s="63" t="s">
        <v>173</v>
      </c>
      <c r="F17" s="87">
        <v>50</v>
      </c>
      <c r="G17" s="63">
        <v>12</v>
      </c>
      <c r="H17" s="67" t="str">
        <f t="shared" si="0"/>
        <v>HIV test</v>
      </c>
      <c r="I17" s="67">
        <f t="shared" si="1"/>
        <v>50</v>
      </c>
    </row>
    <row r="18" spans="2:9" x14ac:dyDescent="0.25">
      <c r="B18" s="105" t="s">
        <v>193</v>
      </c>
      <c r="C18" s="106" t="s">
        <v>194</v>
      </c>
      <c r="F18" s="87"/>
      <c r="G18" s="63">
        <v>13</v>
      </c>
      <c r="H18" s="67"/>
      <c r="I18" s="67"/>
    </row>
    <row r="19" spans="2:9" x14ac:dyDescent="0.25">
      <c r="B19" s="109" t="s">
        <v>171</v>
      </c>
      <c r="C19" s="108" t="s">
        <v>195</v>
      </c>
      <c r="D19" s="63" t="s">
        <v>173</v>
      </c>
      <c r="E19" s="63" t="s">
        <v>173</v>
      </c>
      <c r="F19" s="87">
        <v>6</v>
      </c>
      <c r="G19" s="63">
        <v>14</v>
      </c>
      <c r="H19" s="67" t="str">
        <f>C19</f>
        <v>Ziehl-Nielsen staining for acid fast bacilli (AFB)</v>
      </c>
      <c r="I19" s="67">
        <f>F19</f>
        <v>6</v>
      </c>
    </row>
    <row r="20" spans="2:9" x14ac:dyDescent="0.25">
      <c r="B20" s="109" t="s">
        <v>174</v>
      </c>
      <c r="C20" s="108" t="s">
        <v>196</v>
      </c>
      <c r="D20" s="63" t="s">
        <v>173</v>
      </c>
      <c r="E20" s="63" t="s">
        <v>173</v>
      </c>
      <c r="F20" s="87">
        <v>6</v>
      </c>
      <c r="G20" s="63">
        <v>15</v>
      </c>
      <c r="H20" s="67" t="str">
        <f>C20</f>
        <v>Direct smear for AFB</v>
      </c>
      <c r="I20" s="67">
        <f>F20</f>
        <v>6</v>
      </c>
    </row>
    <row r="21" spans="2:9" x14ac:dyDescent="0.25">
      <c r="B21" s="109" t="s">
        <v>176</v>
      </c>
      <c r="C21" s="108" t="s">
        <v>197</v>
      </c>
      <c r="D21" s="63" t="s">
        <v>173</v>
      </c>
      <c r="E21" s="63" t="s">
        <v>173</v>
      </c>
      <c r="F21" s="87">
        <v>6</v>
      </c>
      <c r="G21" s="63">
        <v>16</v>
      </c>
      <c r="H21" s="67" t="str">
        <f>C21</f>
        <v>Gram’s staining</v>
      </c>
      <c r="I21" s="67">
        <f>F21</f>
        <v>6</v>
      </c>
    </row>
    <row r="22" spans="2:9" x14ac:dyDescent="0.25">
      <c r="B22" s="105" t="s">
        <v>198</v>
      </c>
      <c r="C22" s="106" t="s">
        <v>199</v>
      </c>
      <c r="F22" s="87"/>
      <c r="G22" s="63">
        <v>17</v>
      </c>
      <c r="H22" s="67"/>
      <c r="I22" s="67"/>
    </row>
    <row r="23" spans="2:9" x14ac:dyDescent="0.25">
      <c r="B23" s="109" t="s">
        <v>171</v>
      </c>
      <c r="C23" s="108" t="s">
        <v>200</v>
      </c>
      <c r="E23" s="63" t="s">
        <v>173</v>
      </c>
      <c r="F23" s="87">
        <v>80</v>
      </c>
      <c r="G23" s="63">
        <v>18</v>
      </c>
      <c r="H23" s="67" t="str">
        <f>C23</f>
        <v>Typhi dot</v>
      </c>
      <c r="I23" s="67">
        <f>F23</f>
        <v>80</v>
      </c>
    </row>
    <row r="24" spans="2:9" x14ac:dyDescent="0.25">
      <c r="B24" s="105" t="s">
        <v>201</v>
      </c>
      <c r="C24" s="106" t="s">
        <v>202</v>
      </c>
      <c r="F24" s="87"/>
      <c r="G24" s="63">
        <v>19</v>
      </c>
      <c r="H24" s="67"/>
      <c r="I24" s="67"/>
    </row>
    <row r="25" spans="2:9" x14ac:dyDescent="0.25">
      <c r="B25" s="109" t="s">
        <v>171</v>
      </c>
      <c r="C25" s="108" t="s">
        <v>203</v>
      </c>
      <c r="D25" s="63" t="s">
        <v>173</v>
      </c>
      <c r="E25" s="63" t="s">
        <v>173</v>
      </c>
      <c r="F25" s="278">
        <v>8.5</v>
      </c>
      <c r="G25" s="63">
        <v>20</v>
      </c>
      <c r="H25" s="67" t="str">
        <f>C25</f>
        <v>Urine analysis: physical exam</v>
      </c>
      <c r="I25" s="67">
        <f>F25</f>
        <v>8.5</v>
      </c>
    </row>
    <row r="26" spans="2:9" x14ac:dyDescent="0.25">
      <c r="B26" s="109" t="s">
        <v>174</v>
      </c>
      <c r="C26" s="108" t="s">
        <v>204</v>
      </c>
      <c r="D26" s="63" t="s">
        <v>173</v>
      </c>
      <c r="E26" s="63" t="s">
        <v>173</v>
      </c>
      <c r="F26" s="278"/>
      <c r="G26" s="63">
        <v>21</v>
      </c>
      <c r="H26" s="67"/>
      <c r="I26" s="67"/>
    </row>
    <row r="27" spans="2:9" x14ac:dyDescent="0.25">
      <c r="B27" s="109" t="s">
        <v>176</v>
      </c>
      <c r="C27" s="108" t="s">
        <v>205</v>
      </c>
      <c r="D27" s="63" t="s">
        <v>173</v>
      </c>
      <c r="E27" s="63" t="s">
        <v>173</v>
      </c>
      <c r="F27" s="278"/>
      <c r="G27" s="63">
        <v>22</v>
      </c>
      <c r="H27" s="67"/>
      <c r="I27" s="67"/>
    </row>
    <row r="28" spans="2:9" x14ac:dyDescent="0.25">
      <c r="B28" s="109" t="s">
        <v>178</v>
      </c>
      <c r="C28" s="108" t="s">
        <v>206</v>
      </c>
      <c r="D28" s="63" t="s">
        <v>173</v>
      </c>
      <c r="E28" s="63" t="s">
        <v>173</v>
      </c>
      <c r="F28" s="278"/>
      <c r="G28" s="63">
        <v>23</v>
      </c>
      <c r="H28" s="67"/>
      <c r="I28" s="67"/>
    </row>
    <row r="29" spans="2:9" x14ac:dyDescent="0.25">
      <c r="B29" s="109" t="s">
        <v>180</v>
      </c>
      <c r="C29" s="108" t="s">
        <v>207</v>
      </c>
      <c r="D29" s="63" t="s">
        <v>173</v>
      </c>
      <c r="E29" s="63" t="s">
        <v>173</v>
      </c>
      <c r="F29" s="278"/>
      <c r="G29" s="63">
        <v>24</v>
      </c>
      <c r="H29" s="67"/>
      <c r="I29" s="67"/>
    </row>
    <row r="30" spans="2:9" x14ac:dyDescent="0.25">
      <c r="B30" s="109" t="s">
        <v>182</v>
      </c>
      <c r="C30" s="108" t="s">
        <v>208</v>
      </c>
      <c r="D30" s="63" t="s">
        <v>173</v>
      </c>
      <c r="E30" s="63" t="s">
        <v>173</v>
      </c>
      <c r="F30" s="278">
        <v>1.5</v>
      </c>
      <c r="G30" s="63">
        <v>25</v>
      </c>
      <c r="H30" s="67" t="str">
        <f>C30</f>
        <v>Microscopic (stool test)</v>
      </c>
      <c r="I30" s="67">
        <f>F30</f>
        <v>1.5</v>
      </c>
    </row>
    <row r="31" spans="2:9" x14ac:dyDescent="0.25">
      <c r="B31" s="109" t="s">
        <v>184</v>
      </c>
      <c r="C31" s="108" t="s">
        <v>209</v>
      </c>
      <c r="D31" s="63" t="s">
        <v>173</v>
      </c>
      <c r="E31" s="63" t="s">
        <v>173</v>
      </c>
      <c r="F31" s="278"/>
      <c r="G31" s="63">
        <v>26</v>
      </c>
      <c r="H31" s="67" t="str">
        <f>C31</f>
        <v>Macroscopic (stool test)</v>
      </c>
      <c r="I31" s="67">
        <v>2</v>
      </c>
    </row>
    <row r="32" spans="2:9" x14ac:dyDescent="0.25">
      <c r="B32" s="109" t="s">
        <v>186</v>
      </c>
      <c r="C32" s="108" t="s">
        <v>210</v>
      </c>
      <c r="D32" s="63" t="s">
        <v>173</v>
      </c>
      <c r="E32" s="63" t="s">
        <v>173</v>
      </c>
      <c r="F32" s="87">
        <v>5</v>
      </c>
      <c r="G32" s="63">
        <v>27</v>
      </c>
      <c r="H32" s="67" t="str">
        <f>C32</f>
        <v>Pregnancy test</v>
      </c>
      <c r="I32" s="67">
        <f>F32</f>
        <v>5</v>
      </c>
    </row>
    <row r="33" spans="2:9" x14ac:dyDescent="0.25">
      <c r="B33" s="105" t="s">
        <v>211</v>
      </c>
      <c r="C33" s="106" t="s">
        <v>212</v>
      </c>
      <c r="F33" s="87"/>
      <c r="G33" s="63">
        <v>28</v>
      </c>
      <c r="H33" s="67"/>
      <c r="I33" s="67"/>
    </row>
    <row r="34" spans="2:9" x14ac:dyDescent="0.25">
      <c r="B34" s="109" t="s">
        <v>171</v>
      </c>
      <c r="C34" s="108" t="s">
        <v>213</v>
      </c>
      <c r="E34" s="63" t="s">
        <v>173</v>
      </c>
      <c r="F34" s="87">
        <v>15</v>
      </c>
      <c r="G34" s="63">
        <v>29</v>
      </c>
      <c r="H34" s="67" t="str">
        <f t="shared" ref="H34:H39" si="2">C34</f>
        <v>Blood-sugar test</v>
      </c>
      <c r="I34" s="67">
        <f t="shared" ref="I34:I39" si="3">F34</f>
        <v>15</v>
      </c>
    </row>
    <row r="35" spans="2:9" x14ac:dyDescent="0.25">
      <c r="B35" s="109" t="s">
        <v>174</v>
      </c>
      <c r="C35" s="108" t="s">
        <v>214</v>
      </c>
      <c r="E35" s="63" t="s">
        <v>173</v>
      </c>
      <c r="F35" s="87">
        <v>12</v>
      </c>
      <c r="G35" s="63">
        <v>30</v>
      </c>
      <c r="H35" s="67" t="str">
        <f t="shared" si="2"/>
        <v>Urea test</v>
      </c>
      <c r="I35" s="67">
        <f t="shared" si="3"/>
        <v>12</v>
      </c>
    </row>
    <row r="36" spans="2:9" x14ac:dyDescent="0.25">
      <c r="B36" s="109" t="s">
        <v>176</v>
      </c>
      <c r="C36" s="108" t="s">
        <v>215</v>
      </c>
      <c r="E36" s="63" t="s">
        <v>173</v>
      </c>
      <c r="F36" s="87">
        <v>16</v>
      </c>
      <c r="G36" s="63">
        <v>31</v>
      </c>
      <c r="H36" s="67" t="str">
        <f t="shared" si="2"/>
        <v>Creatinine test</v>
      </c>
      <c r="I36" s="67">
        <f t="shared" si="3"/>
        <v>16</v>
      </c>
    </row>
    <row r="37" spans="2:9" x14ac:dyDescent="0.25">
      <c r="B37" s="109" t="s">
        <v>178</v>
      </c>
      <c r="C37" s="108" t="s">
        <v>216</v>
      </c>
      <c r="E37" s="63" t="s">
        <v>173</v>
      </c>
      <c r="F37" s="87">
        <v>25</v>
      </c>
      <c r="G37" s="63">
        <v>32</v>
      </c>
      <c r="H37" s="67" t="str">
        <f t="shared" si="2"/>
        <v>Total protein test</v>
      </c>
      <c r="I37" s="67">
        <f t="shared" si="3"/>
        <v>25</v>
      </c>
    </row>
    <row r="38" spans="2:9" x14ac:dyDescent="0.25">
      <c r="B38" s="109" t="s">
        <v>180</v>
      </c>
      <c r="C38" s="108" t="s">
        <v>217</v>
      </c>
      <c r="E38" s="63" t="s">
        <v>173</v>
      </c>
      <c r="F38" s="87">
        <v>54</v>
      </c>
      <c r="G38" s="63">
        <v>33</v>
      </c>
      <c r="H38" s="67" t="str">
        <f t="shared" si="2"/>
        <v>Simple liver-function test</v>
      </c>
      <c r="I38" s="67">
        <f t="shared" si="3"/>
        <v>54</v>
      </c>
    </row>
    <row r="39" spans="2:9" x14ac:dyDescent="0.25">
      <c r="B39" s="109" t="s">
        <v>182</v>
      </c>
      <c r="C39" s="108" t="s">
        <v>218</v>
      </c>
      <c r="F39" s="87">
        <v>15</v>
      </c>
      <c r="G39" s="63">
        <v>34</v>
      </c>
      <c r="H39" s="67" t="str">
        <f t="shared" si="2"/>
        <v>Brucellosis</v>
      </c>
      <c r="I39" s="67">
        <f t="shared" si="3"/>
        <v>15</v>
      </c>
    </row>
    <row r="40" spans="2:9" x14ac:dyDescent="0.25">
      <c r="B40" s="105" t="s">
        <v>219</v>
      </c>
      <c r="C40" s="106" t="s">
        <v>220</v>
      </c>
      <c r="F40" s="87"/>
      <c r="G40" s="63">
        <v>35</v>
      </c>
      <c r="H40" s="67"/>
      <c r="I40" s="67"/>
    </row>
    <row r="41" spans="2:9" x14ac:dyDescent="0.25">
      <c r="B41" s="109" t="s">
        <v>171</v>
      </c>
      <c r="C41" s="108" t="s">
        <v>221</v>
      </c>
      <c r="D41" s="63" t="s">
        <v>173</v>
      </c>
      <c r="E41" s="63" t="s">
        <v>173</v>
      </c>
      <c r="F41" s="87">
        <v>5.5</v>
      </c>
      <c r="G41" s="63">
        <v>36</v>
      </c>
      <c r="H41" s="67" t="str">
        <f>C41</f>
        <v>Body fluids</v>
      </c>
      <c r="I41" s="67">
        <f>F41</f>
        <v>5.5</v>
      </c>
    </row>
    <row r="42" spans="2:9" x14ac:dyDescent="0.25">
      <c r="B42" s="103">
        <v>2</v>
      </c>
      <c r="C42" s="104" t="s">
        <v>222</v>
      </c>
      <c r="F42" s="87"/>
      <c r="G42" s="63">
        <v>37</v>
      </c>
      <c r="H42" s="67"/>
      <c r="I42" s="67"/>
    </row>
    <row r="43" spans="2:9" x14ac:dyDescent="0.25">
      <c r="B43" s="105" t="s">
        <v>169</v>
      </c>
      <c r="C43" s="106" t="s">
        <v>223</v>
      </c>
      <c r="F43" s="87"/>
      <c r="G43" s="63">
        <v>38</v>
      </c>
      <c r="H43" s="67"/>
      <c r="I43" s="67"/>
    </row>
    <row r="44" spans="2:9" x14ac:dyDescent="0.25">
      <c r="B44" s="109" t="s">
        <v>171</v>
      </c>
      <c r="C44" s="108" t="s">
        <v>224</v>
      </c>
      <c r="E44" s="63" t="s">
        <v>173</v>
      </c>
      <c r="F44" s="87">
        <v>40</v>
      </c>
      <c r="G44" s="63">
        <v>39</v>
      </c>
      <c r="H44" s="86" t="s">
        <v>800</v>
      </c>
      <c r="I44" s="67">
        <f>F44</f>
        <v>40</v>
      </c>
    </row>
    <row r="45" spans="2:9" x14ac:dyDescent="0.25">
      <c r="B45" s="109" t="s">
        <v>174</v>
      </c>
      <c r="C45" s="108" t="s">
        <v>225</v>
      </c>
      <c r="E45" s="63" t="s">
        <v>173</v>
      </c>
      <c r="F45" s="87">
        <v>40</v>
      </c>
      <c r="G45" s="63">
        <v>40</v>
      </c>
      <c r="H45" s="67" t="str">
        <f>C45</f>
        <v>Abdomen</v>
      </c>
      <c r="I45" s="67">
        <f>F45</f>
        <v>40</v>
      </c>
    </row>
    <row r="46" spans="2:9" x14ac:dyDescent="0.25">
      <c r="B46" s="109" t="s">
        <v>176</v>
      </c>
      <c r="C46" s="108" t="s">
        <v>226</v>
      </c>
      <c r="E46" s="63" t="s">
        <v>173</v>
      </c>
      <c r="F46" s="87">
        <v>40</v>
      </c>
      <c r="G46" s="63">
        <v>41</v>
      </c>
      <c r="H46" s="67" t="str">
        <f>C46</f>
        <v>Skeletal</v>
      </c>
      <c r="I46" s="67">
        <f>F46</f>
        <v>40</v>
      </c>
    </row>
    <row r="47" spans="2:9" x14ac:dyDescent="0.25">
      <c r="B47" s="110" t="s">
        <v>178</v>
      </c>
      <c r="C47" s="108" t="s">
        <v>227</v>
      </c>
      <c r="F47" s="87">
        <v>3</v>
      </c>
      <c r="G47" s="63">
        <v>42</v>
      </c>
      <c r="H47" s="67" t="str">
        <f>C47</f>
        <v>Ultrasound</v>
      </c>
      <c r="I47" s="67">
        <v>5</v>
      </c>
    </row>
    <row r="48" spans="2:9" x14ac:dyDescent="0.25">
      <c r="H48" s="186"/>
      <c r="I48" s="186"/>
    </row>
  </sheetData>
  <sheetProtection sheet="1" objects="1" scenarios="1"/>
  <mergeCells count="3">
    <mergeCell ref="F25:F29"/>
    <mergeCell ref="F30:F31"/>
    <mergeCell ref="H4:I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C1:Y83"/>
  <sheetViews>
    <sheetView showGridLines="0" zoomScale="145" zoomScaleNormal="145" workbookViewId="0">
      <selection activeCell="A22" sqref="A22"/>
    </sheetView>
  </sheetViews>
  <sheetFormatPr defaultRowHeight="15" x14ac:dyDescent="0.25"/>
  <cols>
    <col min="1" max="2" width="9.140625" style="63"/>
    <col min="3" max="3" width="38.5703125" style="63" bestFit="1" customWidth="1"/>
    <col min="4" max="5" width="9.140625" style="63"/>
    <col min="6" max="6" width="14.7109375" style="63" bestFit="1" customWidth="1"/>
    <col min="7" max="7" width="11.7109375" style="63" bestFit="1" customWidth="1"/>
    <col min="8" max="8" width="9.7109375" style="63" bestFit="1" customWidth="1"/>
    <col min="9" max="9" width="7.7109375" style="63" bestFit="1" customWidth="1"/>
    <col min="10" max="13" width="9.140625" style="63" hidden="1" customWidth="1"/>
    <col min="14" max="14" width="10.7109375" style="63" hidden="1" customWidth="1"/>
    <col min="15" max="15" width="9.140625" style="63" hidden="1" customWidth="1"/>
    <col min="16" max="16" width="13.28515625" style="63" hidden="1" customWidth="1"/>
    <col min="17" max="21" width="9.140625" style="63" hidden="1" customWidth="1"/>
    <col min="22" max="22" width="40" style="63" hidden="1" customWidth="1"/>
    <col min="23" max="23" width="10.7109375" style="63" hidden="1" customWidth="1"/>
    <col min="24" max="25" width="9.140625" style="63" hidden="1" customWidth="1"/>
    <col min="26" max="16384" width="9.140625" style="63"/>
  </cols>
  <sheetData>
    <row r="1" spans="3:24" x14ac:dyDescent="0.25">
      <c r="H1" s="111">
        <f>25*8</f>
        <v>200</v>
      </c>
      <c r="I1" s="111">
        <v>60</v>
      </c>
    </row>
    <row r="2" spans="3:24" x14ac:dyDescent="0.25">
      <c r="C2" s="237" t="s">
        <v>242</v>
      </c>
      <c r="D2" s="282" t="s">
        <v>243</v>
      </c>
      <c r="E2" s="282" t="s">
        <v>228</v>
      </c>
      <c r="F2" s="282" t="s">
        <v>306</v>
      </c>
      <c r="G2" s="282"/>
      <c r="H2" s="282"/>
      <c r="I2" s="282"/>
      <c r="V2" s="280" t="s">
        <v>242</v>
      </c>
    </row>
    <row r="3" spans="3:24" ht="15" customHeight="1" x14ac:dyDescent="0.25">
      <c r="C3" s="238"/>
      <c r="D3" s="282"/>
      <c r="E3" s="282"/>
      <c r="F3" s="167" t="s">
        <v>237</v>
      </c>
      <c r="G3" s="167" t="s">
        <v>303</v>
      </c>
      <c r="H3" s="167" t="s">
        <v>304</v>
      </c>
      <c r="I3" s="167" t="s">
        <v>305</v>
      </c>
      <c r="V3" s="281"/>
      <c r="W3" s="63" t="s">
        <v>928</v>
      </c>
      <c r="X3" s="63" t="s">
        <v>929</v>
      </c>
    </row>
    <row r="4" spans="3:24" x14ac:dyDescent="0.25">
      <c r="C4" s="168" t="s">
        <v>136</v>
      </c>
      <c r="D4" s="169">
        <v>1</v>
      </c>
      <c r="E4" s="169">
        <v>17</v>
      </c>
      <c r="F4" s="170">
        <f>VLOOKUP($E$4:$E$22,Pay_scale!$B$5:$H$23,7,FALSE)</f>
        <v>728190</v>
      </c>
      <c r="G4" s="170">
        <f>F4/12</f>
        <v>60682.5</v>
      </c>
      <c r="H4" s="170">
        <f>G4/$H$1</f>
        <v>303.41250000000002</v>
      </c>
      <c r="I4" s="170">
        <f>H4/$I$1</f>
        <v>5.0568750000000007</v>
      </c>
      <c r="P4" s="87"/>
      <c r="Q4" s="89"/>
      <c r="T4" s="63" t="s">
        <v>927</v>
      </c>
      <c r="V4" s="89" t="str">
        <f>C4</f>
        <v>Medical Officer</v>
      </c>
      <c r="W4" s="63">
        <f>D4*F4</f>
        <v>728190</v>
      </c>
      <c r="X4" s="63">
        <f>D4*G4</f>
        <v>60682.5</v>
      </c>
    </row>
    <row r="5" spans="3:24" x14ac:dyDescent="0.25">
      <c r="C5" s="171"/>
      <c r="D5" s="169"/>
      <c r="E5" s="169"/>
      <c r="F5" s="170"/>
      <c r="G5" s="170"/>
      <c r="H5" s="170"/>
      <c r="I5" s="170"/>
      <c r="P5" s="87"/>
      <c r="Q5" s="89"/>
      <c r="V5" s="89">
        <f t="shared" ref="V5:V27" si="0">C5</f>
        <v>0</v>
      </c>
      <c r="W5" s="87">
        <f t="shared" ref="W5:W27" si="1">D5*F5</f>
        <v>0</v>
      </c>
      <c r="X5" s="63">
        <f t="shared" ref="X5:X27" si="2">D5*G5</f>
        <v>0</v>
      </c>
    </row>
    <row r="6" spans="3:24" x14ac:dyDescent="0.25">
      <c r="C6" s="171" t="s">
        <v>133</v>
      </c>
      <c r="D6" s="169">
        <v>1</v>
      </c>
      <c r="E6" s="169">
        <v>9</v>
      </c>
      <c r="F6" s="170">
        <f>VLOOKUP($E$4:$E$22,Pay_scale!$B$5:$H$23,7,FALSE)</f>
        <v>315130.5</v>
      </c>
      <c r="G6" s="170">
        <f t="shared" ref="G6:G22" si="3">F6/12</f>
        <v>26260.875</v>
      </c>
      <c r="H6" s="170">
        <f t="shared" ref="H6:H22" si="4">G6/$H$1</f>
        <v>131.30437499999999</v>
      </c>
      <c r="I6" s="170">
        <f t="shared" ref="I6:I22" si="5">H6/$I$1</f>
        <v>2.1884062499999999</v>
      </c>
      <c r="Q6" s="89"/>
      <c r="T6" s="63" t="s">
        <v>927</v>
      </c>
      <c r="V6" s="89" t="str">
        <f t="shared" si="0"/>
        <v>LHV</v>
      </c>
      <c r="W6" s="63">
        <f t="shared" si="1"/>
        <v>315130.5</v>
      </c>
      <c r="X6" s="63">
        <f t="shared" si="2"/>
        <v>26260.875</v>
      </c>
    </row>
    <row r="7" spans="3:24" x14ac:dyDescent="0.25">
      <c r="C7" s="168"/>
      <c r="D7" s="169"/>
      <c r="E7" s="169"/>
      <c r="F7" s="170"/>
      <c r="G7" s="170"/>
      <c r="H7" s="170"/>
      <c r="I7" s="170"/>
      <c r="Q7" s="89"/>
      <c r="V7" s="89">
        <f t="shared" si="0"/>
        <v>0</v>
      </c>
      <c r="W7" s="63">
        <f t="shared" si="1"/>
        <v>0</v>
      </c>
      <c r="X7" s="63">
        <f t="shared" si="2"/>
        <v>0</v>
      </c>
    </row>
    <row r="8" spans="3:24" x14ac:dyDescent="0.25">
      <c r="C8" s="168" t="s">
        <v>960</v>
      </c>
      <c r="D8" s="169">
        <v>1</v>
      </c>
      <c r="E8" s="169">
        <v>6</v>
      </c>
      <c r="F8" s="170">
        <f>VLOOKUP($E$4:$E$22,Pay_scale!$B$5:$H$23,7,FALSE)</f>
        <v>256205.69999999998</v>
      </c>
      <c r="G8" s="170">
        <f t="shared" si="3"/>
        <v>21350.474999999999</v>
      </c>
      <c r="H8" s="170">
        <f t="shared" si="4"/>
        <v>106.75237499999999</v>
      </c>
      <c r="I8" s="170">
        <f t="shared" si="5"/>
        <v>1.7792062499999999</v>
      </c>
      <c r="Q8" s="89"/>
      <c r="T8" s="63" t="s">
        <v>927</v>
      </c>
      <c r="V8" s="89" t="str">
        <f t="shared" si="0"/>
        <v>Dispenser</v>
      </c>
      <c r="W8" s="63">
        <f t="shared" si="1"/>
        <v>256205.69999999998</v>
      </c>
      <c r="X8" s="63">
        <f t="shared" si="2"/>
        <v>21350.474999999999</v>
      </c>
    </row>
    <row r="9" spans="3:24" x14ac:dyDescent="0.25">
      <c r="C9" s="168" t="s">
        <v>966</v>
      </c>
      <c r="D9" s="169">
        <v>1</v>
      </c>
      <c r="E9" s="169">
        <v>6</v>
      </c>
      <c r="F9" s="170">
        <f>VLOOKUP($E$4:$E$22,Pay_scale!$B$5:$H$23,7,FALSE)</f>
        <v>256205.69999999998</v>
      </c>
      <c r="G9" s="170">
        <f t="shared" si="3"/>
        <v>21350.474999999999</v>
      </c>
      <c r="H9" s="170">
        <f t="shared" si="4"/>
        <v>106.75237499999999</v>
      </c>
      <c r="I9" s="170">
        <f t="shared" si="5"/>
        <v>1.7792062499999999</v>
      </c>
      <c r="Q9" s="89"/>
      <c r="T9" s="63" t="s">
        <v>171</v>
      </c>
      <c r="V9" s="89" t="str">
        <f t="shared" si="0"/>
        <v>Dresser</v>
      </c>
      <c r="W9" s="63">
        <f t="shared" si="1"/>
        <v>256205.69999999998</v>
      </c>
      <c r="X9" s="63">
        <f t="shared" si="2"/>
        <v>21350.474999999999</v>
      </c>
    </row>
    <row r="10" spans="3:24" x14ac:dyDescent="0.25">
      <c r="C10" s="171"/>
      <c r="D10" s="169"/>
      <c r="E10" s="169"/>
      <c r="F10" s="170"/>
      <c r="G10" s="170"/>
      <c r="H10" s="170"/>
      <c r="I10" s="170"/>
      <c r="Q10" s="89"/>
      <c r="V10" s="89">
        <f t="shared" si="0"/>
        <v>0</v>
      </c>
      <c r="W10" s="63">
        <f t="shared" si="1"/>
        <v>0</v>
      </c>
      <c r="X10" s="63">
        <f t="shared" si="2"/>
        <v>0</v>
      </c>
    </row>
    <row r="11" spans="3:24" x14ac:dyDescent="0.25">
      <c r="C11" s="168"/>
      <c r="D11" s="169"/>
      <c r="E11" s="169"/>
      <c r="F11" s="170"/>
      <c r="G11" s="170"/>
      <c r="H11" s="170"/>
      <c r="I11" s="170"/>
      <c r="Q11" s="89"/>
      <c r="V11" s="89">
        <f t="shared" si="0"/>
        <v>0</v>
      </c>
      <c r="W11" s="63">
        <f t="shared" si="1"/>
        <v>0</v>
      </c>
      <c r="X11" s="63">
        <f t="shared" si="2"/>
        <v>0</v>
      </c>
    </row>
    <row r="12" spans="3:24" x14ac:dyDescent="0.25">
      <c r="C12" s="171"/>
      <c r="D12" s="169"/>
      <c r="E12" s="169"/>
      <c r="F12" s="170"/>
      <c r="G12" s="170"/>
      <c r="H12" s="170"/>
      <c r="I12" s="170"/>
      <c r="K12" s="84"/>
      <c r="Q12" s="89"/>
      <c r="V12" s="89">
        <f t="shared" si="0"/>
        <v>0</v>
      </c>
      <c r="W12" s="63">
        <f t="shared" si="1"/>
        <v>0</v>
      </c>
      <c r="X12" s="63">
        <f t="shared" si="2"/>
        <v>0</v>
      </c>
    </row>
    <row r="13" spans="3:24" x14ac:dyDescent="0.25">
      <c r="C13" s="168" t="s">
        <v>142</v>
      </c>
      <c r="D13" s="169">
        <v>1</v>
      </c>
      <c r="E13" s="169">
        <v>6</v>
      </c>
      <c r="F13" s="170">
        <f>VLOOKUP($E$4:$E$22,Pay_scale!$B$5:$H$23,7,FALSE)</f>
        <v>256205.69999999998</v>
      </c>
      <c r="G13" s="170">
        <f t="shared" si="3"/>
        <v>21350.474999999999</v>
      </c>
      <c r="H13" s="170">
        <f t="shared" si="4"/>
        <v>106.75237499999999</v>
      </c>
      <c r="I13" s="170">
        <f t="shared" si="5"/>
        <v>1.7792062499999999</v>
      </c>
      <c r="Q13" s="89"/>
      <c r="T13" s="63" t="s">
        <v>927</v>
      </c>
      <c r="V13" s="89" t="str">
        <f t="shared" si="0"/>
        <v>Midwife</v>
      </c>
      <c r="W13" s="63">
        <f t="shared" si="1"/>
        <v>256205.69999999998</v>
      </c>
      <c r="X13" s="63">
        <f t="shared" si="2"/>
        <v>21350.474999999999</v>
      </c>
    </row>
    <row r="14" spans="3:24" x14ac:dyDescent="0.25">
      <c r="C14" s="171"/>
      <c r="D14" s="169"/>
      <c r="E14" s="169"/>
      <c r="F14" s="170"/>
      <c r="G14" s="170"/>
      <c r="H14" s="170"/>
      <c r="I14" s="170"/>
      <c r="K14" s="84"/>
      <c r="Q14" s="89"/>
      <c r="V14" s="89">
        <f t="shared" si="0"/>
        <v>0</v>
      </c>
      <c r="W14" s="63">
        <f t="shared" si="1"/>
        <v>0</v>
      </c>
      <c r="X14" s="63">
        <f t="shared" si="2"/>
        <v>0</v>
      </c>
    </row>
    <row r="15" spans="3:24" x14ac:dyDescent="0.25">
      <c r="C15" s="171"/>
      <c r="D15" s="169"/>
      <c r="E15" s="169"/>
      <c r="F15" s="170"/>
      <c r="G15" s="170"/>
      <c r="H15" s="170"/>
      <c r="I15" s="170"/>
      <c r="K15" s="84"/>
      <c r="Q15" s="89"/>
      <c r="V15" s="89">
        <f t="shared" si="0"/>
        <v>0</v>
      </c>
      <c r="W15" s="63">
        <f t="shared" si="1"/>
        <v>0</v>
      </c>
      <c r="X15" s="63">
        <f t="shared" si="2"/>
        <v>0</v>
      </c>
    </row>
    <row r="16" spans="3:24" x14ac:dyDescent="0.25">
      <c r="C16" s="171"/>
      <c r="D16" s="169"/>
      <c r="E16" s="169"/>
      <c r="F16" s="170"/>
      <c r="G16" s="170"/>
      <c r="H16" s="170"/>
      <c r="I16" s="170"/>
      <c r="K16" s="84"/>
      <c r="L16" s="84"/>
      <c r="M16" s="84"/>
      <c r="N16" s="84"/>
      <c r="Q16" s="89"/>
      <c r="V16" s="89">
        <f t="shared" si="0"/>
        <v>0</v>
      </c>
      <c r="W16" s="63">
        <f t="shared" si="1"/>
        <v>0</v>
      </c>
      <c r="X16" s="63">
        <f t="shared" si="2"/>
        <v>0</v>
      </c>
    </row>
    <row r="17" spans="3:24" x14ac:dyDescent="0.25">
      <c r="C17" s="171"/>
      <c r="D17" s="169"/>
      <c r="E17" s="169"/>
      <c r="F17" s="170"/>
      <c r="G17" s="170"/>
      <c r="H17" s="170"/>
      <c r="I17" s="170"/>
      <c r="K17" s="84"/>
      <c r="L17" s="84"/>
      <c r="M17" s="84"/>
      <c r="N17" s="84"/>
      <c r="Q17" s="89"/>
      <c r="V17" s="89">
        <f t="shared" si="0"/>
        <v>0</v>
      </c>
      <c r="W17" s="63">
        <f t="shared" si="1"/>
        <v>0</v>
      </c>
      <c r="X17" s="63">
        <f t="shared" si="2"/>
        <v>0</v>
      </c>
    </row>
    <row r="18" spans="3:24" x14ac:dyDescent="0.25">
      <c r="C18" s="171" t="s">
        <v>951</v>
      </c>
      <c r="D18" s="169">
        <v>1</v>
      </c>
      <c r="E18" s="169">
        <v>1</v>
      </c>
      <c r="F18" s="170">
        <f>VLOOKUP($E$4:$E$22,Pay_scale!$B$5:$H$23,7,FALSE)</f>
        <v>152334</v>
      </c>
      <c r="G18" s="170">
        <f t="shared" si="3"/>
        <v>12694.5</v>
      </c>
      <c r="H18" s="170">
        <f t="shared" si="4"/>
        <v>63.472499999999997</v>
      </c>
      <c r="I18" s="170">
        <f t="shared" si="5"/>
        <v>1.0578749999999999</v>
      </c>
      <c r="K18" s="84"/>
      <c r="L18" s="84"/>
      <c r="M18" s="84"/>
      <c r="N18" s="84"/>
      <c r="Q18" s="89"/>
      <c r="T18" s="63" t="s">
        <v>171</v>
      </c>
      <c r="V18" s="89" t="str">
        <f t="shared" si="0"/>
        <v>Naib Qasid</v>
      </c>
      <c r="W18" s="63">
        <f t="shared" si="1"/>
        <v>152334</v>
      </c>
      <c r="X18" s="63">
        <f t="shared" si="2"/>
        <v>12694.5</v>
      </c>
    </row>
    <row r="19" spans="3:24" x14ac:dyDescent="0.25">
      <c r="C19" s="168" t="s">
        <v>962</v>
      </c>
      <c r="D19" s="169">
        <v>1</v>
      </c>
      <c r="E19" s="169">
        <v>1</v>
      </c>
      <c r="F19" s="170">
        <f>VLOOKUP($E$4:$E$22,Pay_scale!$B$5:$H$23,7,FALSE)</f>
        <v>152334</v>
      </c>
      <c r="G19" s="170">
        <f t="shared" si="3"/>
        <v>12694.5</v>
      </c>
      <c r="H19" s="170">
        <f t="shared" si="4"/>
        <v>63.472499999999997</v>
      </c>
      <c r="I19" s="170">
        <f t="shared" si="5"/>
        <v>1.0578749999999999</v>
      </c>
      <c r="K19" s="84"/>
      <c r="L19" s="84"/>
      <c r="M19" s="84"/>
      <c r="N19" s="84"/>
      <c r="Q19" s="89"/>
      <c r="T19" s="63" t="s">
        <v>171</v>
      </c>
      <c r="V19" s="89" t="str">
        <f t="shared" si="0"/>
        <v>Sanitation Worker</v>
      </c>
      <c r="W19" s="63">
        <f t="shared" si="1"/>
        <v>152334</v>
      </c>
      <c r="X19" s="63">
        <f t="shared" si="2"/>
        <v>12694.5</v>
      </c>
    </row>
    <row r="20" spans="3:24" x14ac:dyDescent="0.25">
      <c r="C20" s="171"/>
      <c r="D20" s="169"/>
      <c r="E20" s="169"/>
      <c r="F20" s="170"/>
      <c r="G20" s="170"/>
      <c r="H20" s="170"/>
      <c r="I20" s="170"/>
      <c r="K20" s="84"/>
      <c r="L20" s="84"/>
      <c r="M20" s="84"/>
      <c r="N20" s="84"/>
      <c r="Q20" s="89"/>
      <c r="V20" s="89">
        <f t="shared" si="0"/>
        <v>0</v>
      </c>
      <c r="W20" s="63">
        <f t="shared" si="1"/>
        <v>0</v>
      </c>
      <c r="X20" s="63">
        <f t="shared" si="2"/>
        <v>0</v>
      </c>
    </row>
    <row r="21" spans="3:24" x14ac:dyDescent="0.25">
      <c r="C21" s="171" t="s">
        <v>240</v>
      </c>
      <c r="D21" s="169">
        <v>1</v>
      </c>
      <c r="E21" s="169">
        <v>1</v>
      </c>
      <c r="F21" s="170">
        <f>VLOOKUP($E$4:$E$22,Pay_scale!$B$5:$H$23,7,FALSE)</f>
        <v>152334</v>
      </c>
      <c r="G21" s="170">
        <f t="shared" si="3"/>
        <v>12694.5</v>
      </c>
      <c r="H21" s="170">
        <f t="shared" si="4"/>
        <v>63.472499999999997</v>
      </c>
      <c r="I21" s="170">
        <f t="shared" si="5"/>
        <v>1.0578749999999999</v>
      </c>
      <c r="K21" s="84"/>
      <c r="L21" s="84"/>
      <c r="M21" s="84"/>
      <c r="N21" s="84"/>
      <c r="Q21" s="89"/>
      <c r="T21" s="63" t="s">
        <v>171</v>
      </c>
      <c r="V21" s="89" t="str">
        <f t="shared" si="0"/>
        <v>Guard</v>
      </c>
      <c r="W21" s="63">
        <f t="shared" si="1"/>
        <v>152334</v>
      </c>
      <c r="X21" s="63">
        <f t="shared" si="2"/>
        <v>12694.5</v>
      </c>
    </row>
    <row r="22" spans="3:24" x14ac:dyDescent="0.25">
      <c r="C22" s="171" t="s">
        <v>952</v>
      </c>
      <c r="D22" s="169">
        <v>1</v>
      </c>
      <c r="E22" s="169">
        <v>1</v>
      </c>
      <c r="F22" s="170">
        <f>VLOOKUP($E$4:$E$22,Pay_scale!$B$5:$H$23,7,FALSE)</f>
        <v>152334</v>
      </c>
      <c r="G22" s="170">
        <f t="shared" si="3"/>
        <v>12694.5</v>
      </c>
      <c r="H22" s="170">
        <f t="shared" si="4"/>
        <v>63.472499999999997</v>
      </c>
      <c r="I22" s="170">
        <f t="shared" si="5"/>
        <v>1.0578749999999999</v>
      </c>
      <c r="K22" s="84"/>
      <c r="L22" s="84"/>
      <c r="M22" s="84"/>
      <c r="N22" s="84"/>
      <c r="Q22" s="89"/>
      <c r="T22" s="63" t="s">
        <v>171</v>
      </c>
      <c r="V22" s="89" t="str">
        <f t="shared" si="0"/>
        <v>Aya</v>
      </c>
      <c r="W22" s="63">
        <f t="shared" si="1"/>
        <v>152334</v>
      </c>
      <c r="X22" s="63">
        <f t="shared" si="2"/>
        <v>12694.5</v>
      </c>
    </row>
    <row r="23" spans="3:24" x14ac:dyDescent="0.25">
      <c r="C23" s="168" t="s">
        <v>967</v>
      </c>
      <c r="D23" s="169">
        <v>1</v>
      </c>
      <c r="E23" s="169">
        <v>2</v>
      </c>
      <c r="F23" s="170">
        <f>VLOOKUP($E$4:$E$23,Pay_scale!$B$5:$H$23,7,FALSE)</f>
        <v>184223.7</v>
      </c>
      <c r="G23" s="170">
        <f t="shared" ref="G23" si="6">F23/12</f>
        <v>15351.975</v>
      </c>
      <c r="H23" s="170">
        <f t="shared" ref="H23" si="7">G23/$H$1</f>
        <v>76.759875000000008</v>
      </c>
      <c r="I23" s="170">
        <f t="shared" ref="I23" si="8">H23/$I$1</f>
        <v>1.27933125</v>
      </c>
      <c r="K23" s="84"/>
      <c r="L23" s="84"/>
      <c r="M23" s="84"/>
      <c r="N23" s="84"/>
      <c r="Q23" s="89"/>
      <c r="T23" s="63" t="s">
        <v>171</v>
      </c>
      <c r="V23" s="89" t="str">
        <f t="shared" si="0"/>
        <v>Attendant</v>
      </c>
      <c r="W23" s="63">
        <f t="shared" si="1"/>
        <v>184223.7</v>
      </c>
      <c r="X23" s="63">
        <f t="shared" si="2"/>
        <v>15351.975</v>
      </c>
    </row>
    <row r="24" spans="3:24" x14ac:dyDescent="0.25">
      <c r="C24" s="168"/>
      <c r="D24" s="169"/>
      <c r="E24" s="169"/>
      <c r="F24" s="170"/>
      <c r="G24" s="170"/>
      <c r="H24" s="170"/>
      <c r="I24" s="170"/>
      <c r="K24" s="84"/>
      <c r="L24" s="84"/>
      <c r="M24" s="84"/>
      <c r="N24" s="84"/>
      <c r="Q24" s="89"/>
      <c r="V24" s="89">
        <f t="shared" si="0"/>
        <v>0</v>
      </c>
      <c r="W24" s="63">
        <f t="shared" si="1"/>
        <v>0</v>
      </c>
      <c r="X24" s="63">
        <f t="shared" si="2"/>
        <v>0</v>
      </c>
    </row>
    <row r="25" spans="3:24" x14ac:dyDescent="0.25">
      <c r="C25" s="168"/>
      <c r="D25" s="169"/>
      <c r="E25" s="169"/>
      <c r="F25" s="170"/>
      <c r="G25" s="170"/>
      <c r="H25" s="170"/>
      <c r="I25" s="170"/>
      <c r="K25" s="84"/>
      <c r="L25" s="84"/>
      <c r="M25" s="84"/>
      <c r="N25" s="84"/>
      <c r="Q25" s="89"/>
      <c r="V25" s="89">
        <f t="shared" si="0"/>
        <v>0</v>
      </c>
      <c r="W25" s="63">
        <f t="shared" si="1"/>
        <v>0</v>
      </c>
      <c r="X25" s="63">
        <f t="shared" si="2"/>
        <v>0</v>
      </c>
    </row>
    <row r="26" spans="3:24" x14ac:dyDescent="0.25">
      <c r="C26" s="168"/>
      <c r="D26" s="169"/>
      <c r="E26" s="169"/>
      <c r="F26" s="170"/>
      <c r="G26" s="170"/>
      <c r="H26" s="170"/>
      <c r="I26" s="170"/>
      <c r="K26" s="84"/>
      <c r="L26" s="84"/>
      <c r="M26" s="84"/>
      <c r="N26" s="84"/>
      <c r="Q26" s="89"/>
      <c r="V26" s="89">
        <f t="shared" si="0"/>
        <v>0</v>
      </c>
      <c r="W26" s="63">
        <f t="shared" si="1"/>
        <v>0</v>
      </c>
      <c r="X26" s="63">
        <f t="shared" si="2"/>
        <v>0</v>
      </c>
    </row>
    <row r="27" spans="3:24" x14ac:dyDescent="0.25">
      <c r="C27" s="168"/>
      <c r="D27" s="169"/>
      <c r="E27" s="169"/>
      <c r="F27" s="170"/>
      <c r="G27" s="170"/>
      <c r="H27" s="170"/>
      <c r="I27" s="170"/>
      <c r="K27" s="84"/>
      <c r="L27" s="84"/>
      <c r="M27" s="84"/>
      <c r="N27" s="84"/>
      <c r="Q27" s="89"/>
      <c r="V27" s="89">
        <f t="shared" si="0"/>
        <v>0</v>
      </c>
      <c r="W27" s="63">
        <f t="shared" si="1"/>
        <v>0</v>
      </c>
      <c r="X27" s="63">
        <f t="shared" si="2"/>
        <v>0</v>
      </c>
    </row>
    <row r="28" spans="3:24" x14ac:dyDescent="0.25">
      <c r="C28" s="167"/>
      <c r="D28" s="167"/>
      <c r="E28" s="167"/>
      <c r="F28" s="167"/>
      <c r="G28" s="167"/>
      <c r="H28" s="167"/>
      <c r="I28" s="167"/>
      <c r="N28" s="84"/>
      <c r="V28" s="89"/>
    </row>
    <row r="30" spans="3:24" x14ac:dyDescent="0.25">
      <c r="C30" s="279" t="s">
        <v>597</v>
      </c>
      <c r="D30" s="279"/>
      <c r="E30" s="279"/>
      <c r="F30" s="173">
        <f>SUMIF(T4:T27,"I",W4:W27)</f>
        <v>1049765.3999999999</v>
      </c>
      <c r="G30" s="173">
        <f>F30/12</f>
        <v>87480.45</v>
      </c>
      <c r="H30" s="173">
        <f>G30/200</f>
        <v>437.40224999999998</v>
      </c>
      <c r="I30" s="173">
        <f>H30/60</f>
        <v>7.2900374999999995</v>
      </c>
    </row>
    <row r="31" spans="3:24" x14ac:dyDescent="0.25">
      <c r="C31" s="279" t="s">
        <v>599</v>
      </c>
      <c r="D31" s="279"/>
      <c r="E31" s="279"/>
      <c r="F31" s="174">
        <f>SUMIF(T4:T27,"d",W4:W27)</f>
        <v>1555731.9</v>
      </c>
      <c r="G31" s="173">
        <f>F31/12</f>
        <v>129644.325</v>
      </c>
      <c r="H31" s="173">
        <f>G31/200</f>
        <v>648.22162500000002</v>
      </c>
      <c r="I31" s="173">
        <f>H31/60</f>
        <v>10.803693750000001</v>
      </c>
    </row>
    <row r="32" spans="3:24" x14ac:dyDescent="0.25">
      <c r="C32" s="279" t="s">
        <v>600</v>
      </c>
      <c r="D32" s="279"/>
      <c r="E32" s="279"/>
      <c r="F32" s="176">
        <f>F30/F31</f>
        <v>0.6747726905901974</v>
      </c>
      <c r="G32" s="175"/>
      <c r="H32" s="175"/>
      <c r="I32" s="175"/>
    </row>
    <row r="33" spans="3:9" x14ac:dyDescent="0.25">
      <c r="F33" s="84"/>
    </row>
    <row r="34" spans="3:9" x14ac:dyDescent="0.25">
      <c r="F34" s="118">
        <f>P28</f>
        <v>0</v>
      </c>
    </row>
    <row r="35" spans="3:9" hidden="1" x14ac:dyDescent="0.25">
      <c r="C35" s="89" t="str">
        <f>C4</f>
        <v>Medical Officer</v>
      </c>
      <c r="D35" s="87">
        <f t="shared" ref="D35:E35" si="9">D4</f>
        <v>1</v>
      </c>
      <c r="E35" s="87">
        <f t="shared" si="9"/>
        <v>17</v>
      </c>
      <c r="F35" s="87">
        <f>F4*D35</f>
        <v>728190</v>
      </c>
      <c r="G35" s="87">
        <f>F35/12</f>
        <v>60682.5</v>
      </c>
      <c r="H35" s="87">
        <f>H4</f>
        <v>303.41250000000002</v>
      </c>
      <c r="I35" s="87">
        <f>I4</f>
        <v>5.0568750000000007</v>
      </c>
    </row>
    <row r="36" spans="3:9" hidden="1" x14ac:dyDescent="0.25">
      <c r="C36" s="89">
        <f t="shared" ref="C36:E36" si="10">C5</f>
        <v>0</v>
      </c>
      <c r="D36" s="87">
        <f t="shared" si="10"/>
        <v>0</v>
      </c>
      <c r="E36" s="87">
        <f t="shared" si="10"/>
        <v>0</v>
      </c>
      <c r="F36" s="87">
        <f t="shared" ref="F36:F58" si="11">F5*D36</f>
        <v>0</v>
      </c>
      <c r="G36" s="87">
        <f t="shared" ref="G36:G59" si="12">F36/12</f>
        <v>0</v>
      </c>
      <c r="H36" s="87">
        <f t="shared" ref="H36:I36" si="13">H5</f>
        <v>0</v>
      </c>
      <c r="I36" s="87">
        <f t="shared" si="13"/>
        <v>0</v>
      </c>
    </row>
    <row r="37" spans="3:9" hidden="1" x14ac:dyDescent="0.25">
      <c r="C37" s="89" t="str">
        <f t="shared" ref="C37:E37" si="14">C6</f>
        <v>LHV</v>
      </c>
      <c r="D37" s="87">
        <f t="shared" si="14"/>
        <v>1</v>
      </c>
      <c r="E37" s="87">
        <f t="shared" si="14"/>
        <v>9</v>
      </c>
      <c r="F37" s="87">
        <f t="shared" si="11"/>
        <v>315130.5</v>
      </c>
      <c r="G37" s="87">
        <f t="shared" si="12"/>
        <v>26260.875</v>
      </c>
      <c r="H37" s="87">
        <f t="shared" ref="H37:I37" si="15">H6</f>
        <v>131.30437499999999</v>
      </c>
      <c r="I37" s="87">
        <f t="shared" si="15"/>
        <v>2.1884062499999999</v>
      </c>
    </row>
    <row r="38" spans="3:9" hidden="1" x14ac:dyDescent="0.25">
      <c r="C38" s="89">
        <f t="shared" ref="C38:E38" si="16">C7</f>
        <v>0</v>
      </c>
      <c r="D38" s="87">
        <f t="shared" si="16"/>
        <v>0</v>
      </c>
      <c r="E38" s="87">
        <f t="shared" si="16"/>
        <v>0</v>
      </c>
      <c r="F38" s="87">
        <f t="shared" si="11"/>
        <v>0</v>
      </c>
      <c r="G38" s="87">
        <f t="shared" si="12"/>
        <v>0</v>
      </c>
      <c r="H38" s="87">
        <f t="shared" ref="H38:I38" si="17">H7</f>
        <v>0</v>
      </c>
      <c r="I38" s="87">
        <f t="shared" si="17"/>
        <v>0</v>
      </c>
    </row>
    <row r="39" spans="3:9" hidden="1" x14ac:dyDescent="0.25">
      <c r="C39" s="89" t="str">
        <f t="shared" ref="C39:E39" si="18">C8</f>
        <v>Dispenser</v>
      </c>
      <c r="D39" s="87">
        <f t="shared" si="18"/>
        <v>1</v>
      </c>
      <c r="E39" s="87">
        <f t="shared" si="18"/>
        <v>6</v>
      </c>
      <c r="F39" s="87">
        <f t="shared" si="11"/>
        <v>256205.69999999998</v>
      </c>
      <c r="G39" s="87">
        <f t="shared" si="12"/>
        <v>21350.474999999999</v>
      </c>
      <c r="H39" s="87">
        <f t="shared" ref="H39:I39" si="19">H8</f>
        <v>106.75237499999999</v>
      </c>
      <c r="I39" s="87">
        <f t="shared" si="19"/>
        <v>1.7792062499999999</v>
      </c>
    </row>
    <row r="40" spans="3:9" hidden="1" x14ac:dyDescent="0.25">
      <c r="C40" s="89" t="str">
        <f t="shared" ref="C40:E40" si="20">C9</f>
        <v>Dresser</v>
      </c>
      <c r="D40" s="87">
        <f t="shared" si="20"/>
        <v>1</v>
      </c>
      <c r="E40" s="87">
        <f t="shared" si="20"/>
        <v>6</v>
      </c>
      <c r="F40" s="87">
        <f t="shared" si="11"/>
        <v>256205.69999999998</v>
      </c>
      <c r="G40" s="87">
        <f t="shared" si="12"/>
        <v>21350.474999999999</v>
      </c>
      <c r="H40" s="87">
        <f t="shared" ref="H40:I40" si="21">H9</f>
        <v>106.75237499999999</v>
      </c>
      <c r="I40" s="87">
        <f t="shared" si="21"/>
        <v>1.7792062499999999</v>
      </c>
    </row>
    <row r="41" spans="3:9" hidden="1" x14ac:dyDescent="0.25">
      <c r="C41" s="89">
        <f t="shared" ref="C41:E41" si="22">C10</f>
        <v>0</v>
      </c>
      <c r="D41" s="87">
        <f t="shared" si="22"/>
        <v>0</v>
      </c>
      <c r="E41" s="87">
        <f t="shared" si="22"/>
        <v>0</v>
      </c>
      <c r="F41" s="87">
        <f t="shared" si="11"/>
        <v>0</v>
      </c>
      <c r="G41" s="87">
        <f t="shared" si="12"/>
        <v>0</v>
      </c>
      <c r="H41" s="87">
        <f t="shared" ref="H41:I41" si="23">H10</f>
        <v>0</v>
      </c>
      <c r="I41" s="87">
        <f t="shared" si="23"/>
        <v>0</v>
      </c>
    </row>
    <row r="42" spans="3:9" hidden="1" x14ac:dyDescent="0.25">
      <c r="C42" s="89">
        <f t="shared" ref="C42:E42" si="24">C11</f>
        <v>0</v>
      </c>
      <c r="D42" s="87">
        <f t="shared" si="24"/>
        <v>0</v>
      </c>
      <c r="E42" s="87">
        <f t="shared" si="24"/>
        <v>0</v>
      </c>
      <c r="F42" s="87">
        <f t="shared" si="11"/>
        <v>0</v>
      </c>
      <c r="G42" s="87">
        <f t="shared" si="12"/>
        <v>0</v>
      </c>
      <c r="H42" s="87">
        <f t="shared" ref="H42:I42" si="25">H11</f>
        <v>0</v>
      </c>
      <c r="I42" s="87">
        <f t="shared" si="25"/>
        <v>0</v>
      </c>
    </row>
    <row r="43" spans="3:9" hidden="1" x14ac:dyDescent="0.25">
      <c r="C43" s="89">
        <f t="shared" ref="C43:E43" si="26">C12</f>
        <v>0</v>
      </c>
      <c r="D43" s="87">
        <f t="shared" si="26"/>
        <v>0</v>
      </c>
      <c r="E43" s="87">
        <f t="shared" si="26"/>
        <v>0</v>
      </c>
      <c r="F43" s="87">
        <f t="shared" si="11"/>
        <v>0</v>
      </c>
      <c r="G43" s="87">
        <f t="shared" si="12"/>
        <v>0</v>
      </c>
      <c r="H43" s="87">
        <f t="shared" ref="H43:I43" si="27">H12</f>
        <v>0</v>
      </c>
      <c r="I43" s="87">
        <f t="shared" si="27"/>
        <v>0</v>
      </c>
    </row>
    <row r="44" spans="3:9" hidden="1" x14ac:dyDescent="0.25">
      <c r="C44" s="89" t="str">
        <f t="shared" ref="C44:E44" si="28">C13</f>
        <v>Midwife</v>
      </c>
      <c r="D44" s="87">
        <f t="shared" si="28"/>
        <v>1</v>
      </c>
      <c r="E44" s="87">
        <f t="shared" si="28"/>
        <v>6</v>
      </c>
      <c r="F44" s="87">
        <f t="shared" si="11"/>
        <v>256205.69999999998</v>
      </c>
      <c r="G44" s="87">
        <f t="shared" si="12"/>
        <v>21350.474999999999</v>
      </c>
      <c r="H44" s="87">
        <f t="shared" ref="H44:I44" si="29">H13</f>
        <v>106.75237499999999</v>
      </c>
      <c r="I44" s="87">
        <f t="shared" si="29"/>
        <v>1.7792062499999999</v>
      </c>
    </row>
    <row r="45" spans="3:9" hidden="1" x14ac:dyDescent="0.25">
      <c r="C45" s="89">
        <f t="shared" ref="C45:E45" si="30">C14</f>
        <v>0</v>
      </c>
      <c r="D45" s="87">
        <f t="shared" si="30"/>
        <v>0</v>
      </c>
      <c r="E45" s="87">
        <f t="shared" si="30"/>
        <v>0</v>
      </c>
      <c r="F45" s="87">
        <f t="shared" si="11"/>
        <v>0</v>
      </c>
      <c r="G45" s="87">
        <f t="shared" si="12"/>
        <v>0</v>
      </c>
      <c r="H45" s="87">
        <f t="shared" ref="H45:I45" si="31">H14</f>
        <v>0</v>
      </c>
      <c r="I45" s="87">
        <f t="shared" si="31"/>
        <v>0</v>
      </c>
    </row>
    <row r="46" spans="3:9" hidden="1" x14ac:dyDescent="0.25">
      <c r="C46" s="89">
        <f t="shared" ref="C46:E46" si="32">C15</f>
        <v>0</v>
      </c>
      <c r="D46" s="87">
        <f t="shared" si="32"/>
        <v>0</v>
      </c>
      <c r="E46" s="87">
        <f t="shared" si="32"/>
        <v>0</v>
      </c>
      <c r="F46" s="87">
        <f t="shared" si="11"/>
        <v>0</v>
      </c>
      <c r="G46" s="87">
        <f t="shared" si="12"/>
        <v>0</v>
      </c>
      <c r="H46" s="87">
        <f t="shared" ref="H46:I46" si="33">H15</f>
        <v>0</v>
      </c>
      <c r="I46" s="87">
        <f t="shared" si="33"/>
        <v>0</v>
      </c>
    </row>
    <row r="47" spans="3:9" hidden="1" x14ac:dyDescent="0.25">
      <c r="C47" s="89">
        <f t="shared" ref="C47:E47" si="34">C16</f>
        <v>0</v>
      </c>
      <c r="D47" s="87">
        <f t="shared" si="34"/>
        <v>0</v>
      </c>
      <c r="E47" s="87">
        <f t="shared" si="34"/>
        <v>0</v>
      </c>
      <c r="F47" s="87">
        <f t="shared" si="11"/>
        <v>0</v>
      </c>
      <c r="G47" s="87">
        <f t="shared" si="12"/>
        <v>0</v>
      </c>
      <c r="H47" s="87">
        <f t="shared" ref="H47:I47" si="35">H16</f>
        <v>0</v>
      </c>
      <c r="I47" s="87">
        <f t="shared" si="35"/>
        <v>0</v>
      </c>
    </row>
    <row r="48" spans="3:9" hidden="1" x14ac:dyDescent="0.25">
      <c r="C48" s="89">
        <f t="shared" ref="C48:E48" si="36">C17</f>
        <v>0</v>
      </c>
      <c r="D48" s="87">
        <f t="shared" si="36"/>
        <v>0</v>
      </c>
      <c r="E48" s="87">
        <f t="shared" si="36"/>
        <v>0</v>
      </c>
      <c r="F48" s="87">
        <f t="shared" si="11"/>
        <v>0</v>
      </c>
      <c r="G48" s="87">
        <f t="shared" si="12"/>
        <v>0</v>
      </c>
      <c r="H48" s="87">
        <f t="shared" ref="H48:I48" si="37">H17</f>
        <v>0</v>
      </c>
      <c r="I48" s="87">
        <f t="shared" si="37"/>
        <v>0</v>
      </c>
    </row>
    <row r="49" spans="3:9" hidden="1" x14ac:dyDescent="0.25">
      <c r="C49" s="89" t="str">
        <f t="shared" ref="C49:E49" si="38">C18</f>
        <v>Naib Qasid</v>
      </c>
      <c r="D49" s="87">
        <f t="shared" si="38"/>
        <v>1</v>
      </c>
      <c r="E49" s="87">
        <f t="shared" si="38"/>
        <v>1</v>
      </c>
      <c r="F49" s="87">
        <f t="shared" si="11"/>
        <v>152334</v>
      </c>
      <c r="G49" s="87">
        <f t="shared" si="12"/>
        <v>12694.5</v>
      </c>
      <c r="H49" s="87">
        <f t="shared" ref="H49:I49" si="39">H18</f>
        <v>63.472499999999997</v>
      </c>
      <c r="I49" s="87">
        <f t="shared" si="39"/>
        <v>1.0578749999999999</v>
      </c>
    </row>
    <row r="50" spans="3:9" hidden="1" x14ac:dyDescent="0.25">
      <c r="C50" s="89" t="str">
        <f t="shared" ref="C50:E50" si="40">C19</f>
        <v>Sanitation Worker</v>
      </c>
      <c r="D50" s="87">
        <f t="shared" si="40"/>
        <v>1</v>
      </c>
      <c r="E50" s="87">
        <f t="shared" si="40"/>
        <v>1</v>
      </c>
      <c r="F50" s="87">
        <f t="shared" si="11"/>
        <v>152334</v>
      </c>
      <c r="G50" s="87">
        <f t="shared" si="12"/>
        <v>12694.5</v>
      </c>
      <c r="H50" s="87">
        <f t="shared" ref="H50:I50" si="41">H19</f>
        <v>63.472499999999997</v>
      </c>
      <c r="I50" s="87">
        <f t="shared" si="41"/>
        <v>1.0578749999999999</v>
      </c>
    </row>
    <row r="51" spans="3:9" hidden="1" x14ac:dyDescent="0.25">
      <c r="C51" s="89">
        <f t="shared" ref="C51:E51" si="42">C20</f>
        <v>0</v>
      </c>
      <c r="D51" s="87">
        <f t="shared" si="42"/>
        <v>0</v>
      </c>
      <c r="E51" s="87">
        <f t="shared" si="42"/>
        <v>0</v>
      </c>
      <c r="F51" s="87">
        <f t="shared" si="11"/>
        <v>0</v>
      </c>
      <c r="G51" s="87">
        <f t="shared" si="12"/>
        <v>0</v>
      </c>
      <c r="H51" s="87">
        <f t="shared" ref="H51:I51" si="43">H20</f>
        <v>0</v>
      </c>
      <c r="I51" s="87">
        <f t="shared" si="43"/>
        <v>0</v>
      </c>
    </row>
    <row r="52" spans="3:9" hidden="1" x14ac:dyDescent="0.25">
      <c r="C52" s="89" t="str">
        <f t="shared" ref="C52:E52" si="44">C21</f>
        <v>Guard</v>
      </c>
      <c r="D52" s="87">
        <f t="shared" si="44"/>
        <v>1</v>
      </c>
      <c r="E52" s="87">
        <f t="shared" si="44"/>
        <v>1</v>
      </c>
      <c r="F52" s="87">
        <f t="shared" si="11"/>
        <v>152334</v>
      </c>
      <c r="G52" s="87">
        <f t="shared" si="12"/>
        <v>12694.5</v>
      </c>
      <c r="H52" s="87">
        <f t="shared" ref="H52:I52" si="45">H21</f>
        <v>63.472499999999997</v>
      </c>
      <c r="I52" s="87">
        <f t="shared" si="45"/>
        <v>1.0578749999999999</v>
      </c>
    </row>
    <row r="53" spans="3:9" hidden="1" x14ac:dyDescent="0.25">
      <c r="C53" s="89" t="str">
        <f t="shared" ref="C53:E53" si="46">C22</f>
        <v>Aya</v>
      </c>
      <c r="D53" s="87">
        <f t="shared" si="46"/>
        <v>1</v>
      </c>
      <c r="E53" s="87">
        <f t="shared" si="46"/>
        <v>1</v>
      </c>
      <c r="F53" s="87">
        <f t="shared" si="11"/>
        <v>152334</v>
      </c>
      <c r="G53" s="87">
        <f t="shared" si="12"/>
        <v>12694.5</v>
      </c>
      <c r="H53" s="87">
        <f t="shared" ref="H53:I53" si="47">H22</f>
        <v>63.472499999999997</v>
      </c>
      <c r="I53" s="87">
        <f t="shared" si="47"/>
        <v>1.0578749999999999</v>
      </c>
    </row>
    <row r="54" spans="3:9" hidden="1" x14ac:dyDescent="0.25">
      <c r="C54" s="89" t="str">
        <f t="shared" ref="C54:E54" si="48">C23</f>
        <v>Attendant</v>
      </c>
      <c r="D54" s="87">
        <f t="shared" si="48"/>
        <v>1</v>
      </c>
      <c r="E54" s="87">
        <f t="shared" si="48"/>
        <v>2</v>
      </c>
      <c r="F54" s="87">
        <f t="shared" si="11"/>
        <v>184223.7</v>
      </c>
      <c r="G54" s="87">
        <f t="shared" si="12"/>
        <v>15351.975</v>
      </c>
      <c r="H54" s="87">
        <f t="shared" ref="H54:I54" si="49">H23</f>
        <v>76.759875000000008</v>
      </c>
      <c r="I54" s="87">
        <f t="shared" si="49"/>
        <v>1.27933125</v>
      </c>
    </row>
    <row r="55" spans="3:9" hidden="1" x14ac:dyDescent="0.25">
      <c r="C55" s="89">
        <f t="shared" ref="C55:E55" si="50">C24</f>
        <v>0</v>
      </c>
      <c r="D55" s="87">
        <f t="shared" si="50"/>
        <v>0</v>
      </c>
      <c r="E55" s="87">
        <f t="shared" si="50"/>
        <v>0</v>
      </c>
      <c r="F55" s="87">
        <f t="shared" si="11"/>
        <v>0</v>
      </c>
      <c r="G55" s="87">
        <f t="shared" si="12"/>
        <v>0</v>
      </c>
      <c r="H55" s="87">
        <f t="shared" ref="H55:I55" si="51">H24</f>
        <v>0</v>
      </c>
      <c r="I55" s="87">
        <f t="shared" si="51"/>
        <v>0</v>
      </c>
    </row>
    <row r="56" spans="3:9" hidden="1" x14ac:dyDescent="0.25">
      <c r="C56" s="89">
        <f t="shared" ref="C56:E56" si="52">C25</f>
        <v>0</v>
      </c>
      <c r="D56" s="87">
        <f t="shared" si="52"/>
        <v>0</v>
      </c>
      <c r="E56" s="87">
        <f t="shared" si="52"/>
        <v>0</v>
      </c>
      <c r="F56" s="87">
        <f t="shared" si="11"/>
        <v>0</v>
      </c>
      <c r="G56" s="87">
        <f t="shared" si="12"/>
        <v>0</v>
      </c>
      <c r="H56" s="87">
        <f t="shared" ref="H56:I56" si="53">H25</f>
        <v>0</v>
      </c>
      <c r="I56" s="87">
        <f t="shared" si="53"/>
        <v>0</v>
      </c>
    </row>
    <row r="57" spans="3:9" hidden="1" x14ac:dyDescent="0.25">
      <c r="C57" s="89">
        <f t="shared" ref="C57:E57" si="54">C26</f>
        <v>0</v>
      </c>
      <c r="D57" s="87">
        <f t="shared" si="54"/>
        <v>0</v>
      </c>
      <c r="E57" s="87">
        <f t="shared" si="54"/>
        <v>0</v>
      </c>
      <c r="F57" s="87">
        <f t="shared" si="11"/>
        <v>0</v>
      </c>
      <c r="G57" s="87">
        <f t="shared" si="12"/>
        <v>0</v>
      </c>
      <c r="H57" s="87">
        <f t="shared" ref="H57:I57" si="55">H26</f>
        <v>0</v>
      </c>
      <c r="I57" s="87">
        <f t="shared" si="55"/>
        <v>0</v>
      </c>
    </row>
    <row r="58" spans="3:9" hidden="1" x14ac:dyDescent="0.25">
      <c r="C58" s="89">
        <f t="shared" ref="C58:E58" si="56">C27</f>
        <v>0</v>
      </c>
      <c r="D58" s="87">
        <f t="shared" si="56"/>
        <v>0</v>
      </c>
      <c r="E58" s="87">
        <f t="shared" si="56"/>
        <v>0</v>
      </c>
      <c r="F58" s="87">
        <f t="shared" si="11"/>
        <v>0</v>
      </c>
      <c r="G58" s="87">
        <f t="shared" si="12"/>
        <v>0</v>
      </c>
      <c r="H58" s="87">
        <f t="shared" ref="H58:I58" si="57">H27</f>
        <v>0</v>
      </c>
      <c r="I58" s="87">
        <f t="shared" si="57"/>
        <v>0</v>
      </c>
    </row>
    <row r="59" spans="3:9" hidden="1" x14ac:dyDescent="0.25">
      <c r="C59" s="89"/>
      <c r="D59" s="87"/>
      <c r="E59" s="87"/>
      <c r="F59" s="87">
        <f>SUM(F35:F58)</f>
        <v>2605497.2999999998</v>
      </c>
      <c r="G59" s="87">
        <f t="shared" si="12"/>
        <v>217124.77499999999</v>
      </c>
      <c r="H59" s="87"/>
      <c r="I59" s="87"/>
    </row>
    <row r="60" spans="3:9" x14ac:dyDescent="0.25">
      <c r="C60" s="89"/>
      <c r="D60" s="87"/>
      <c r="E60" s="87"/>
      <c r="F60" s="87"/>
      <c r="G60" s="87"/>
      <c r="H60" s="87"/>
      <c r="I60" s="87"/>
    </row>
    <row r="61" spans="3:9" x14ac:dyDescent="0.25">
      <c r="C61" s="89"/>
      <c r="D61" s="87"/>
      <c r="E61" s="87"/>
      <c r="F61" s="87"/>
      <c r="G61" s="87"/>
      <c r="H61" s="87"/>
      <c r="I61" s="87"/>
    </row>
    <row r="62" spans="3:9" x14ac:dyDescent="0.25">
      <c r="C62" s="89"/>
      <c r="D62" s="87"/>
      <c r="E62" s="87"/>
      <c r="F62" s="87"/>
      <c r="G62" s="87"/>
      <c r="H62" s="87"/>
      <c r="I62" s="87"/>
    </row>
    <row r="63" spans="3:9" x14ac:dyDescent="0.25">
      <c r="C63" s="89"/>
      <c r="D63" s="87"/>
      <c r="E63" s="87"/>
      <c r="F63" s="87"/>
      <c r="G63" s="87"/>
      <c r="H63" s="87"/>
      <c r="I63" s="87"/>
    </row>
    <row r="64" spans="3:9" x14ac:dyDescent="0.25">
      <c r="C64" s="89"/>
      <c r="D64" s="87"/>
      <c r="E64" s="87"/>
      <c r="F64" s="87"/>
      <c r="G64" s="87"/>
      <c r="H64" s="87"/>
      <c r="I64" s="87"/>
    </row>
    <row r="65" spans="3:9" x14ac:dyDescent="0.25">
      <c r="C65" s="89"/>
      <c r="D65" s="87"/>
      <c r="E65" s="87"/>
      <c r="F65" s="87"/>
      <c r="G65" s="87"/>
      <c r="H65" s="87"/>
      <c r="I65" s="87"/>
    </row>
    <row r="66" spans="3:9" x14ac:dyDescent="0.25">
      <c r="C66" s="89"/>
      <c r="D66" s="87"/>
      <c r="E66" s="87"/>
      <c r="F66" s="87"/>
      <c r="G66" s="87"/>
      <c r="H66" s="87"/>
      <c r="I66" s="87"/>
    </row>
    <row r="67" spans="3:9" x14ac:dyDescent="0.25">
      <c r="C67" s="89"/>
      <c r="D67" s="87"/>
      <c r="E67" s="87"/>
      <c r="F67" s="87"/>
      <c r="G67" s="87"/>
      <c r="H67" s="87"/>
      <c r="I67" s="87"/>
    </row>
    <row r="68" spans="3:9" x14ac:dyDescent="0.25">
      <c r="C68" s="89"/>
      <c r="D68" s="87"/>
      <c r="E68" s="87"/>
      <c r="F68" s="87"/>
      <c r="G68" s="87"/>
      <c r="H68" s="87"/>
      <c r="I68" s="87"/>
    </row>
    <row r="69" spans="3:9" x14ac:dyDescent="0.25">
      <c r="C69" s="89"/>
      <c r="D69" s="87"/>
      <c r="E69" s="87"/>
      <c r="F69" s="87"/>
      <c r="G69" s="87"/>
      <c r="H69" s="87"/>
      <c r="I69" s="87"/>
    </row>
    <row r="70" spans="3:9" x14ac:dyDescent="0.25">
      <c r="C70" s="89"/>
      <c r="D70" s="87"/>
      <c r="E70" s="87"/>
      <c r="F70" s="87"/>
      <c r="G70" s="87"/>
      <c r="H70" s="87"/>
      <c r="I70" s="87"/>
    </row>
    <row r="71" spans="3:9" x14ac:dyDescent="0.25">
      <c r="C71" s="89"/>
      <c r="D71" s="87"/>
      <c r="E71" s="87"/>
      <c r="F71" s="87"/>
      <c r="G71" s="87"/>
      <c r="H71" s="87"/>
      <c r="I71" s="87"/>
    </row>
    <row r="72" spans="3:9" x14ac:dyDescent="0.25">
      <c r="C72" s="89"/>
      <c r="D72" s="87"/>
      <c r="E72" s="87"/>
      <c r="F72" s="87"/>
      <c r="G72" s="87"/>
      <c r="H72" s="87"/>
      <c r="I72" s="87"/>
    </row>
    <row r="73" spans="3:9" x14ac:dyDescent="0.25">
      <c r="C73" s="89"/>
      <c r="D73" s="87"/>
      <c r="E73" s="87"/>
      <c r="F73" s="87"/>
      <c r="G73" s="87"/>
      <c r="H73" s="87"/>
      <c r="I73" s="87"/>
    </row>
    <row r="74" spans="3:9" x14ac:dyDescent="0.25">
      <c r="C74" s="89"/>
      <c r="D74" s="87"/>
      <c r="E74" s="87"/>
      <c r="F74" s="87"/>
      <c r="G74" s="87"/>
      <c r="H74" s="87"/>
      <c r="I74" s="87"/>
    </row>
    <row r="75" spans="3:9" x14ac:dyDescent="0.25">
      <c r="C75" s="89"/>
      <c r="D75" s="87"/>
      <c r="E75" s="87"/>
      <c r="F75" s="87"/>
      <c r="G75" s="87"/>
      <c r="H75" s="87"/>
      <c r="I75" s="87"/>
    </row>
    <row r="76" spans="3:9" x14ac:dyDescent="0.25">
      <c r="C76" s="89"/>
      <c r="D76" s="87"/>
      <c r="E76" s="87"/>
      <c r="F76" s="87"/>
      <c r="G76" s="87"/>
      <c r="H76" s="87"/>
      <c r="I76" s="87"/>
    </row>
    <row r="77" spans="3:9" x14ac:dyDescent="0.25">
      <c r="C77" s="89"/>
      <c r="D77" s="87"/>
      <c r="E77" s="87"/>
      <c r="F77" s="87"/>
      <c r="G77" s="87"/>
      <c r="H77" s="87"/>
      <c r="I77" s="87"/>
    </row>
    <row r="78" spans="3:9" x14ac:dyDescent="0.25">
      <c r="C78" s="89"/>
      <c r="D78" s="87"/>
      <c r="E78" s="87"/>
      <c r="F78" s="87"/>
      <c r="G78" s="87"/>
      <c r="H78" s="87"/>
      <c r="I78" s="87"/>
    </row>
    <row r="79" spans="3:9" x14ac:dyDescent="0.25">
      <c r="C79" s="89"/>
      <c r="D79" s="87"/>
      <c r="E79" s="87"/>
      <c r="F79" s="87"/>
      <c r="G79" s="87"/>
      <c r="H79" s="87"/>
      <c r="I79" s="87"/>
    </row>
    <row r="80" spans="3:9" x14ac:dyDescent="0.25">
      <c r="C80" s="89"/>
      <c r="D80" s="87"/>
      <c r="E80" s="87"/>
      <c r="F80" s="87"/>
      <c r="G80" s="87"/>
      <c r="H80" s="87"/>
      <c r="I80" s="87"/>
    </row>
    <row r="81" spans="3:9" x14ac:dyDescent="0.25">
      <c r="C81" s="89"/>
      <c r="D81" s="87"/>
      <c r="E81" s="87"/>
      <c r="F81" s="87"/>
      <c r="G81" s="87"/>
      <c r="H81" s="87"/>
      <c r="I81" s="87"/>
    </row>
    <row r="82" spans="3:9" x14ac:dyDescent="0.25">
      <c r="C82" s="89"/>
      <c r="D82" s="87"/>
      <c r="E82" s="87"/>
      <c r="F82" s="87"/>
      <c r="G82" s="87"/>
      <c r="H82" s="87"/>
      <c r="I82" s="87"/>
    </row>
    <row r="83" spans="3:9" x14ac:dyDescent="0.25">
      <c r="C83" s="89"/>
      <c r="D83" s="87"/>
      <c r="E83" s="87"/>
      <c r="F83" s="87"/>
      <c r="G83" s="87"/>
      <c r="H83" s="87"/>
      <c r="I83" s="87"/>
    </row>
  </sheetData>
  <sheetProtection algorithmName="SHA-512" hashValue="JjTi8dnsizcwDGLdcD2kyxh8zoixp18pOBL74xy7ltheubsydTOUgZvOS0R2t8kFeNFnWFTgd3qT8QXisIieTg==" saltValue="Zq+HB0bIaABQLR1nM/WtxQ==" spinCount="100000" sheet="1" objects="1" scenarios="1"/>
  <mergeCells count="8">
    <mergeCell ref="C30:E30"/>
    <mergeCell ref="C31:E31"/>
    <mergeCell ref="C32:E32"/>
    <mergeCell ref="C2:C3"/>
    <mergeCell ref="V2:V3"/>
    <mergeCell ref="F2:I2"/>
    <mergeCell ref="E2:E3"/>
    <mergeCell ref="D2:D3"/>
  </mergeCells>
  <pageMargins left="0.7" right="0.7" top="0.75" bottom="0.75" header="0.3" footer="0.3"/>
  <pageSetup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2:AD28"/>
  <sheetViews>
    <sheetView showGridLines="0" zoomScale="130" zoomScaleNormal="130" workbookViewId="0">
      <selection activeCell="L26" sqref="L26"/>
    </sheetView>
  </sheetViews>
  <sheetFormatPr defaultRowHeight="15" x14ac:dyDescent="0.25"/>
  <cols>
    <col min="2" max="2" width="4.28515625" bestFit="1" customWidth="1"/>
    <col min="3" max="3" width="9.5703125" bestFit="1" customWidth="1"/>
    <col min="4" max="4" width="10.5703125" bestFit="1" customWidth="1"/>
    <col min="5" max="5" width="12" bestFit="1" customWidth="1"/>
    <col min="6" max="6" width="11.28515625" bestFit="1" customWidth="1"/>
    <col min="7" max="7" width="9.42578125" bestFit="1" customWidth="1"/>
    <col min="8" max="8" width="12.140625" bestFit="1" customWidth="1"/>
    <col min="16" max="17" width="0" hidden="1" customWidth="1"/>
  </cols>
  <sheetData>
    <row r="2" spans="2:30" x14ac:dyDescent="0.25">
      <c r="B2" s="283" t="s">
        <v>239</v>
      </c>
      <c r="C2" s="283"/>
      <c r="D2" s="283"/>
      <c r="E2" s="283"/>
      <c r="F2" s="283"/>
      <c r="G2" s="283"/>
      <c r="H2" s="283"/>
    </row>
    <row r="3" spans="2:30" x14ac:dyDescent="0.25">
      <c r="B3" s="286" t="s">
        <v>228</v>
      </c>
      <c r="C3" s="286" t="s">
        <v>230</v>
      </c>
      <c r="D3" s="286" t="s">
        <v>231</v>
      </c>
      <c r="E3" s="286" t="s">
        <v>232</v>
      </c>
      <c r="F3" s="199">
        <v>0.55000000000000004</v>
      </c>
      <c r="G3" s="284" t="s">
        <v>233</v>
      </c>
      <c r="H3" s="285"/>
      <c r="I3" s="13"/>
      <c r="J3" s="13"/>
      <c r="K3" s="13"/>
      <c r="L3" s="13"/>
      <c r="M3" s="13"/>
      <c r="N3" s="13"/>
      <c r="O3" s="13"/>
      <c r="P3" s="13" t="s">
        <v>234</v>
      </c>
      <c r="Q3" s="13" t="s">
        <v>229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2:30" x14ac:dyDescent="0.25">
      <c r="B4" s="287"/>
      <c r="C4" s="287"/>
      <c r="D4" s="287"/>
      <c r="E4" s="287"/>
      <c r="F4" s="200" t="s">
        <v>235</v>
      </c>
      <c r="G4" s="200" t="s">
        <v>236</v>
      </c>
      <c r="H4" s="200" t="s">
        <v>237</v>
      </c>
      <c r="I4" s="13"/>
      <c r="J4" s="13"/>
      <c r="K4" s="13"/>
      <c r="L4" s="13"/>
      <c r="M4" s="13"/>
      <c r="N4" s="13"/>
      <c r="O4" s="13"/>
      <c r="P4" s="13">
        <v>250</v>
      </c>
      <c r="Q4" s="13">
        <v>2475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 t="s">
        <v>238</v>
      </c>
    </row>
    <row r="5" spans="2:30" x14ac:dyDescent="0.25">
      <c r="B5" s="18">
        <v>1</v>
      </c>
      <c r="C5" s="14">
        <v>6600</v>
      </c>
      <c r="D5" s="14">
        <v>11600</v>
      </c>
      <c r="E5" s="14">
        <f>AVERAGE(C5:D5)*0.9</f>
        <v>8190</v>
      </c>
      <c r="F5" s="14">
        <f>E5*$F$3</f>
        <v>4504.5</v>
      </c>
      <c r="G5" s="14">
        <f>E5+F5</f>
        <v>12694.5</v>
      </c>
      <c r="H5" s="14">
        <f>G5*12</f>
        <v>152334</v>
      </c>
      <c r="I5" s="13"/>
      <c r="J5" s="13"/>
      <c r="K5" s="13"/>
      <c r="L5" s="13"/>
      <c r="M5" s="13"/>
      <c r="N5" s="13"/>
      <c r="O5" s="13"/>
      <c r="P5" s="13">
        <v>290</v>
      </c>
      <c r="Q5" s="13">
        <v>2535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 t="s">
        <v>238</v>
      </c>
    </row>
    <row r="6" spans="2:30" x14ac:dyDescent="0.25">
      <c r="B6" s="18">
        <v>2</v>
      </c>
      <c r="C6" s="14">
        <v>6800</v>
      </c>
      <c r="D6" s="14">
        <v>15210</v>
      </c>
      <c r="E6" s="14">
        <f t="shared" ref="E6:E23" si="0">AVERAGE(C6:D6)*0.9</f>
        <v>9904.5</v>
      </c>
      <c r="F6" s="14">
        <f t="shared" ref="F6:F23" si="1">E6*$F$3</f>
        <v>5447.4750000000004</v>
      </c>
      <c r="G6" s="14">
        <f t="shared" ref="G6:G23" si="2">E6+F6</f>
        <v>15351.975</v>
      </c>
      <c r="H6" s="14">
        <f t="shared" ref="H6:H23" si="3">G6*12</f>
        <v>184223.7</v>
      </c>
      <c r="I6" s="13"/>
      <c r="J6" s="13"/>
      <c r="K6" s="13"/>
      <c r="L6" s="13"/>
      <c r="M6" s="13"/>
      <c r="N6" s="13"/>
      <c r="O6" s="13"/>
      <c r="P6" s="13">
        <v>340</v>
      </c>
      <c r="Q6" s="13">
        <v>2625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 t="s">
        <v>238</v>
      </c>
    </row>
    <row r="7" spans="2:30" x14ac:dyDescent="0.25">
      <c r="B7" s="18">
        <v>3</v>
      </c>
      <c r="C7" s="14">
        <v>7100</v>
      </c>
      <c r="D7" s="14">
        <v>16960</v>
      </c>
      <c r="E7" s="14">
        <f t="shared" si="0"/>
        <v>10827</v>
      </c>
      <c r="F7" s="14">
        <f t="shared" si="1"/>
        <v>5954.85</v>
      </c>
      <c r="G7" s="14">
        <f t="shared" si="2"/>
        <v>16781.849999999999</v>
      </c>
      <c r="H7" s="14">
        <f t="shared" si="3"/>
        <v>201382.19999999998</v>
      </c>
      <c r="I7" s="13"/>
      <c r="J7" s="13"/>
      <c r="K7" s="13"/>
      <c r="L7" s="13"/>
      <c r="M7" s="13"/>
      <c r="N7" s="13"/>
      <c r="O7" s="13"/>
      <c r="P7" s="13">
        <v>390</v>
      </c>
      <c r="Q7" s="13">
        <v>2715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 t="s">
        <v>238</v>
      </c>
    </row>
    <row r="8" spans="2:30" x14ac:dyDescent="0.25">
      <c r="B8" s="18">
        <v>4</v>
      </c>
      <c r="C8" s="14">
        <v>7400</v>
      </c>
      <c r="D8" s="14">
        <v>18710</v>
      </c>
      <c r="E8" s="14">
        <f t="shared" si="0"/>
        <v>11749.5</v>
      </c>
      <c r="F8" s="14">
        <f t="shared" si="1"/>
        <v>6462.2250000000004</v>
      </c>
      <c r="G8" s="14">
        <f t="shared" si="2"/>
        <v>18211.724999999999</v>
      </c>
      <c r="H8" s="14">
        <f t="shared" si="3"/>
        <v>218540.69999999998</v>
      </c>
      <c r="I8" s="13"/>
      <c r="J8" s="13"/>
      <c r="K8" s="13"/>
      <c r="L8" s="13"/>
      <c r="M8" s="13"/>
      <c r="N8" s="13"/>
      <c r="O8" s="13"/>
      <c r="P8" s="13">
        <v>440</v>
      </c>
      <c r="Q8" s="13">
        <v>2830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 t="s">
        <v>238</v>
      </c>
    </row>
    <row r="9" spans="2:30" x14ac:dyDescent="0.25">
      <c r="B9" s="18">
        <v>5</v>
      </c>
      <c r="C9" s="14">
        <v>7800</v>
      </c>
      <c r="D9" s="14">
        <v>20560</v>
      </c>
      <c r="E9" s="14">
        <f t="shared" si="0"/>
        <v>12762</v>
      </c>
      <c r="F9" s="14">
        <f t="shared" si="1"/>
        <v>7019.1</v>
      </c>
      <c r="G9" s="14">
        <f t="shared" si="2"/>
        <v>19781.099999999999</v>
      </c>
      <c r="H9" s="14">
        <f t="shared" si="3"/>
        <v>237373.19999999998</v>
      </c>
      <c r="I9" s="13"/>
      <c r="J9" s="13"/>
      <c r="K9" s="13"/>
      <c r="L9" s="13"/>
      <c r="M9" s="13"/>
      <c r="N9" s="13"/>
      <c r="O9" s="13"/>
      <c r="P9" s="13">
        <v>490</v>
      </c>
      <c r="Q9" s="13">
        <v>2945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 t="s">
        <v>238</v>
      </c>
    </row>
    <row r="10" spans="2:30" x14ac:dyDescent="0.25">
      <c r="B10" s="18">
        <v>6</v>
      </c>
      <c r="C10" s="14">
        <v>8200</v>
      </c>
      <c r="D10" s="14">
        <v>22410</v>
      </c>
      <c r="E10" s="14">
        <f t="shared" si="0"/>
        <v>13774.5</v>
      </c>
      <c r="F10" s="14">
        <f t="shared" si="1"/>
        <v>7575.9750000000004</v>
      </c>
      <c r="G10" s="14">
        <f t="shared" si="2"/>
        <v>21350.474999999999</v>
      </c>
      <c r="H10" s="14">
        <f t="shared" si="3"/>
        <v>256205.69999999998</v>
      </c>
      <c r="I10" s="13"/>
      <c r="J10" s="13"/>
      <c r="K10" s="13"/>
      <c r="L10" s="13"/>
      <c r="M10" s="13"/>
      <c r="N10" s="13"/>
      <c r="O10" s="13"/>
      <c r="P10" s="13">
        <v>540</v>
      </c>
      <c r="Q10" s="13">
        <v>3060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 t="s">
        <v>238</v>
      </c>
    </row>
    <row r="11" spans="2:30" x14ac:dyDescent="0.25">
      <c r="B11" s="18">
        <v>7</v>
      </c>
      <c r="C11" s="14">
        <v>8600</v>
      </c>
      <c r="D11" s="14">
        <v>24260</v>
      </c>
      <c r="E11" s="14">
        <f t="shared" si="0"/>
        <v>14787</v>
      </c>
      <c r="F11" s="14">
        <f t="shared" si="1"/>
        <v>8132.85</v>
      </c>
      <c r="G11" s="14">
        <f t="shared" si="2"/>
        <v>22919.85</v>
      </c>
      <c r="H11" s="14">
        <f t="shared" si="3"/>
        <v>275038.19999999995</v>
      </c>
      <c r="I11" s="13"/>
      <c r="J11" s="13"/>
      <c r="K11" s="13"/>
      <c r="L11" s="13"/>
      <c r="M11" s="13"/>
      <c r="N11" s="13"/>
      <c r="O11" s="13"/>
      <c r="P11" s="13">
        <v>600</v>
      </c>
      <c r="Q11" s="13">
        <v>3175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 t="s">
        <v>238</v>
      </c>
    </row>
    <row r="12" spans="2:30" x14ac:dyDescent="0.25">
      <c r="B12" s="18">
        <v>8</v>
      </c>
      <c r="C12" s="14">
        <v>9000</v>
      </c>
      <c r="D12" s="14">
        <v>26400</v>
      </c>
      <c r="E12" s="14">
        <f t="shared" si="0"/>
        <v>15930</v>
      </c>
      <c r="F12" s="14">
        <f t="shared" si="1"/>
        <v>8761.5</v>
      </c>
      <c r="G12" s="14">
        <f t="shared" si="2"/>
        <v>24691.5</v>
      </c>
      <c r="H12" s="14">
        <f t="shared" si="3"/>
        <v>296298</v>
      </c>
      <c r="I12" s="13"/>
      <c r="J12" s="13"/>
      <c r="K12" s="13"/>
      <c r="L12" s="13"/>
      <c r="M12" s="13"/>
      <c r="N12" s="13"/>
      <c r="O12" s="13"/>
      <c r="P12" s="13">
        <v>650</v>
      </c>
      <c r="Q12" s="13">
        <v>3290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 t="s">
        <v>238</v>
      </c>
    </row>
    <row r="13" spans="2:30" x14ac:dyDescent="0.25">
      <c r="B13" s="18">
        <v>9</v>
      </c>
      <c r="C13" s="14">
        <v>9400</v>
      </c>
      <c r="D13" s="14">
        <v>28250</v>
      </c>
      <c r="E13" s="14">
        <f t="shared" si="0"/>
        <v>16942.5</v>
      </c>
      <c r="F13" s="14">
        <f t="shared" si="1"/>
        <v>9318.375</v>
      </c>
      <c r="G13" s="14">
        <f t="shared" si="2"/>
        <v>26260.875</v>
      </c>
      <c r="H13" s="14">
        <f t="shared" si="3"/>
        <v>315130.5</v>
      </c>
      <c r="I13" s="13"/>
      <c r="J13" s="13"/>
      <c r="K13" s="13"/>
      <c r="L13" s="13"/>
      <c r="M13" s="13"/>
      <c r="N13" s="13"/>
      <c r="O13" s="13"/>
      <c r="P13" s="13">
        <v>720</v>
      </c>
      <c r="Q13" s="13">
        <v>3410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 t="s">
        <v>238</v>
      </c>
    </row>
    <row r="14" spans="2:30" x14ac:dyDescent="0.25">
      <c r="B14" s="18">
        <v>10</v>
      </c>
      <c r="C14" s="14">
        <v>9800</v>
      </c>
      <c r="D14" s="14">
        <v>30680</v>
      </c>
      <c r="E14" s="14">
        <f t="shared" si="0"/>
        <v>18216</v>
      </c>
      <c r="F14" s="14">
        <f t="shared" si="1"/>
        <v>10018.800000000001</v>
      </c>
      <c r="G14" s="14">
        <f t="shared" si="2"/>
        <v>28234.800000000003</v>
      </c>
      <c r="H14" s="14">
        <f t="shared" si="3"/>
        <v>338817.60000000003</v>
      </c>
      <c r="I14" s="13"/>
      <c r="J14" s="13"/>
      <c r="K14" s="13"/>
      <c r="L14" s="13"/>
      <c r="M14" s="13"/>
      <c r="N14" s="13"/>
      <c r="O14" s="13"/>
      <c r="P14" s="13">
        <v>780</v>
      </c>
      <c r="Q14" s="13">
        <v>3530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 t="s">
        <v>238</v>
      </c>
    </row>
    <row r="15" spans="2:30" x14ac:dyDescent="0.25">
      <c r="B15" s="18">
        <v>11</v>
      </c>
      <c r="C15" s="14">
        <v>10200</v>
      </c>
      <c r="D15" s="14">
        <v>32820</v>
      </c>
      <c r="E15" s="14">
        <f t="shared" si="0"/>
        <v>19359</v>
      </c>
      <c r="F15" s="14">
        <f t="shared" si="1"/>
        <v>10647.45</v>
      </c>
      <c r="G15" s="14">
        <f t="shared" si="2"/>
        <v>30006.45</v>
      </c>
      <c r="H15" s="14">
        <f t="shared" si="3"/>
        <v>360077.4</v>
      </c>
      <c r="I15" s="13"/>
      <c r="J15" s="13"/>
      <c r="K15" s="13"/>
      <c r="L15" s="13"/>
      <c r="M15" s="13"/>
      <c r="N15" s="13"/>
      <c r="O15" s="13"/>
      <c r="P15" s="13">
        <v>850</v>
      </c>
      <c r="Q15" s="13">
        <v>3750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 t="s">
        <v>238</v>
      </c>
    </row>
    <row r="16" spans="2:30" x14ac:dyDescent="0.25">
      <c r="B16" s="18">
        <v>12</v>
      </c>
      <c r="C16" s="14">
        <v>11000</v>
      </c>
      <c r="D16" s="14">
        <v>35650</v>
      </c>
      <c r="E16" s="14">
        <f t="shared" si="0"/>
        <v>20992.5</v>
      </c>
      <c r="F16" s="14">
        <f t="shared" si="1"/>
        <v>11545.875000000002</v>
      </c>
      <c r="G16" s="14">
        <f t="shared" si="2"/>
        <v>32538.375</v>
      </c>
      <c r="H16" s="14">
        <f t="shared" si="3"/>
        <v>390460.5</v>
      </c>
      <c r="I16" s="13"/>
      <c r="J16" s="13"/>
      <c r="K16" s="13"/>
      <c r="L16" s="13"/>
      <c r="M16" s="13"/>
      <c r="N16" s="13"/>
      <c r="O16" s="13"/>
      <c r="P16" s="13">
        <v>920</v>
      </c>
      <c r="Q16" s="13">
        <v>4025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 t="s">
        <v>238</v>
      </c>
    </row>
    <row r="17" spans="2:30" x14ac:dyDescent="0.25">
      <c r="B17" s="18">
        <v>13</v>
      </c>
      <c r="C17" s="14">
        <v>12000</v>
      </c>
      <c r="D17" s="14">
        <v>38680</v>
      </c>
      <c r="E17" s="14">
        <f t="shared" si="0"/>
        <v>22806</v>
      </c>
      <c r="F17" s="14">
        <f t="shared" si="1"/>
        <v>12543.300000000001</v>
      </c>
      <c r="G17" s="14">
        <f t="shared" si="2"/>
        <v>35349.300000000003</v>
      </c>
      <c r="H17" s="14">
        <f t="shared" si="3"/>
        <v>424191.60000000003</v>
      </c>
      <c r="I17" s="13"/>
      <c r="J17" s="13"/>
      <c r="K17" s="13"/>
      <c r="L17" s="13"/>
      <c r="M17" s="13"/>
      <c r="N17" s="13"/>
      <c r="O17" s="13"/>
      <c r="P17" s="13">
        <v>1000</v>
      </c>
      <c r="Q17" s="13">
        <v>4305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 t="s">
        <v>238</v>
      </c>
    </row>
    <row r="18" spans="2:30" x14ac:dyDescent="0.25">
      <c r="B18" s="18">
        <v>14</v>
      </c>
      <c r="C18" s="14">
        <v>13200</v>
      </c>
      <c r="D18" s="14">
        <v>42000</v>
      </c>
      <c r="E18" s="14">
        <f t="shared" si="0"/>
        <v>24840</v>
      </c>
      <c r="F18" s="14">
        <f t="shared" si="1"/>
        <v>13662.000000000002</v>
      </c>
      <c r="G18" s="14">
        <f t="shared" si="2"/>
        <v>38502</v>
      </c>
      <c r="H18" s="14">
        <f t="shared" si="3"/>
        <v>462024</v>
      </c>
      <c r="I18" s="13"/>
      <c r="J18" s="13"/>
      <c r="K18" s="13"/>
      <c r="L18" s="13"/>
      <c r="M18" s="13"/>
      <c r="N18" s="13"/>
      <c r="O18" s="13"/>
      <c r="P18" s="13">
        <v>1090</v>
      </c>
      <c r="Q18" s="13">
        <v>4600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 t="s">
        <v>238</v>
      </c>
    </row>
    <row r="19" spans="2:30" x14ac:dyDescent="0.25">
      <c r="B19" s="18">
        <v>15</v>
      </c>
      <c r="C19" s="14">
        <v>14600</v>
      </c>
      <c r="D19" s="14">
        <v>46210</v>
      </c>
      <c r="E19" s="14">
        <f t="shared" si="0"/>
        <v>27364.5</v>
      </c>
      <c r="F19" s="14">
        <f t="shared" si="1"/>
        <v>15050.475</v>
      </c>
      <c r="G19" s="14">
        <f t="shared" si="2"/>
        <v>42414.974999999999</v>
      </c>
      <c r="H19" s="14">
        <f t="shared" si="3"/>
        <v>508979.69999999995</v>
      </c>
      <c r="I19" s="13"/>
      <c r="J19" s="13"/>
      <c r="K19" s="13"/>
      <c r="L19" s="13"/>
      <c r="M19" s="13"/>
      <c r="N19" s="13"/>
      <c r="O19" s="13"/>
      <c r="P19" s="13">
        <v>1320</v>
      </c>
      <c r="Q19" s="13">
        <v>5400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 t="s">
        <v>238</v>
      </c>
    </row>
    <row r="20" spans="2:30" x14ac:dyDescent="0.25">
      <c r="B20" s="18">
        <v>16</v>
      </c>
      <c r="C20" s="14">
        <v>18000</v>
      </c>
      <c r="D20" s="14">
        <v>56280</v>
      </c>
      <c r="E20" s="14">
        <f t="shared" si="0"/>
        <v>33426</v>
      </c>
      <c r="F20" s="14">
        <f t="shared" si="1"/>
        <v>18384.300000000003</v>
      </c>
      <c r="G20" s="14">
        <f t="shared" si="2"/>
        <v>51810.3</v>
      </c>
      <c r="H20" s="14">
        <f t="shared" si="3"/>
        <v>621723.60000000009</v>
      </c>
      <c r="I20" s="13"/>
      <c r="J20" s="13"/>
      <c r="K20" s="13"/>
      <c r="L20" s="13"/>
      <c r="M20" s="13"/>
      <c r="N20" s="13"/>
      <c r="O20" s="13"/>
      <c r="P20" s="13">
        <v>1800</v>
      </c>
      <c r="Q20" s="13">
        <v>8600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 t="s">
        <v>238</v>
      </c>
    </row>
    <row r="21" spans="2:30" x14ac:dyDescent="0.25">
      <c r="B21" s="18">
        <v>17</v>
      </c>
      <c r="C21" s="14">
        <v>26400</v>
      </c>
      <c r="D21" s="14">
        <v>60600</v>
      </c>
      <c r="E21" s="14">
        <f t="shared" si="0"/>
        <v>39150</v>
      </c>
      <c r="F21" s="14">
        <f t="shared" si="1"/>
        <v>21532.5</v>
      </c>
      <c r="G21" s="14">
        <f t="shared" si="2"/>
        <v>60682.5</v>
      </c>
      <c r="H21" s="14">
        <f t="shared" si="3"/>
        <v>728190</v>
      </c>
      <c r="I21" s="13"/>
      <c r="J21" s="13"/>
      <c r="K21" s="13"/>
      <c r="L21" s="13"/>
      <c r="M21" s="13"/>
      <c r="N21" s="13"/>
      <c r="O21" s="13"/>
      <c r="P21" s="13">
        <v>2260</v>
      </c>
      <c r="Q21" s="13">
        <v>10750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2:30" x14ac:dyDescent="0.25">
      <c r="B22" s="18">
        <v>18</v>
      </c>
      <c r="C22" s="14">
        <v>34000</v>
      </c>
      <c r="D22" s="14">
        <v>76940</v>
      </c>
      <c r="E22" s="14">
        <f t="shared" si="0"/>
        <v>49923</v>
      </c>
      <c r="F22" s="14">
        <f t="shared" si="1"/>
        <v>27457.65</v>
      </c>
      <c r="G22" s="14">
        <f t="shared" si="2"/>
        <v>77380.649999999994</v>
      </c>
      <c r="H22" s="14">
        <f t="shared" si="3"/>
        <v>928567.79999999993</v>
      </c>
      <c r="I22" s="13"/>
      <c r="J22" s="13"/>
      <c r="K22" s="13"/>
      <c r="L22" s="13"/>
      <c r="M22" s="13"/>
      <c r="N22" s="13"/>
      <c r="O22" s="13"/>
      <c r="P22" s="13">
        <v>2710</v>
      </c>
      <c r="Q22" s="13">
        <v>16300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2:30" x14ac:dyDescent="0.25">
      <c r="B23" s="18">
        <v>19</v>
      </c>
      <c r="C23" s="14">
        <v>49300</v>
      </c>
      <c r="D23" s="14">
        <v>110790</v>
      </c>
      <c r="E23" s="14">
        <f t="shared" si="0"/>
        <v>72040.5</v>
      </c>
      <c r="F23" s="14">
        <f t="shared" si="1"/>
        <v>39622.275000000001</v>
      </c>
      <c r="G23" s="14">
        <f t="shared" si="2"/>
        <v>111662.77499999999</v>
      </c>
      <c r="H23" s="14">
        <f t="shared" si="3"/>
        <v>1339953.2999999998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2:30" x14ac:dyDescent="0.25">
      <c r="B24" s="190"/>
      <c r="C24" s="190"/>
      <c r="D24" s="190"/>
      <c r="E24" s="190"/>
      <c r="F24" s="190"/>
      <c r="G24" s="190"/>
      <c r="H24" s="190"/>
    </row>
    <row r="26" spans="2:30" x14ac:dyDescent="0.25">
      <c r="G26" s="120"/>
    </row>
    <row r="27" spans="2:30" x14ac:dyDescent="0.25">
      <c r="G27" s="35"/>
    </row>
    <row r="28" spans="2:30" x14ac:dyDescent="0.25">
      <c r="G28" s="35"/>
      <c r="T28" s="60"/>
    </row>
  </sheetData>
  <sheetProtection algorithmName="SHA-512" hashValue="PhO9td1R2wcwMqOtHyghGLczc/Nb2KZ/fc7kFbR9ifd+8/Un5STNLFK3+rw67cTFnYZS7Wh5I0KyKkYN2skmvA==" saltValue="GVfYbfRs9/Z4S2mKudNSBQ==" spinCount="100000" sheet="1" objects="1" scenarios="1"/>
  <mergeCells count="6">
    <mergeCell ref="B2:H2"/>
    <mergeCell ref="G3:H3"/>
    <mergeCell ref="E3:E4"/>
    <mergeCell ref="D3:D4"/>
    <mergeCell ref="C3:C4"/>
    <mergeCell ref="B3:B4"/>
  </mergeCells>
  <pageMargins left="0.7" right="0.7" top="0.75" bottom="0.75" header="0.3" footer="0.3"/>
  <pageSetup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/>
  <dimension ref="A1:AM100"/>
  <sheetViews>
    <sheetView zoomScale="130" zoomScaleNormal="130" workbookViewId="0"/>
  </sheetViews>
  <sheetFormatPr defaultRowHeight="15" outlineLevelCol="1" x14ac:dyDescent="0.25"/>
  <cols>
    <col min="1" max="1" width="2.140625" bestFit="1" customWidth="1"/>
    <col min="2" max="2" width="20.28515625" bestFit="1" customWidth="1"/>
    <col min="3" max="3" width="14.5703125" customWidth="1"/>
    <col min="4" max="4" width="1.7109375" customWidth="1"/>
    <col min="5" max="5" width="9.140625" style="19"/>
    <col min="6" max="6" width="5.42578125" style="128" customWidth="1"/>
    <col min="7" max="7" width="10.5703125" style="21" customWidth="1" outlineLevel="1"/>
    <col min="8" max="8" width="13.140625" bestFit="1" customWidth="1" outlineLevel="1"/>
    <col min="9" max="9" width="11.5703125" customWidth="1" outlineLevel="1"/>
    <col min="10" max="10" width="2" customWidth="1" outlineLevel="1"/>
    <col min="11" max="12" width="9.140625" customWidth="1" outlineLevel="1"/>
    <col min="13" max="13" width="11.5703125" customWidth="1" outlineLevel="1"/>
    <col min="14" max="14" width="2.85546875" customWidth="1" outlineLevel="1"/>
    <col min="15" max="15" width="15.85546875" customWidth="1" outlineLevel="1"/>
    <col min="16" max="16" width="9.140625" customWidth="1" outlineLevel="1"/>
    <col min="17" max="17" width="11.140625" bestFit="1" customWidth="1" outlineLevel="1"/>
    <col min="18" max="18" width="2.140625" customWidth="1" outlineLevel="1"/>
    <col min="19" max="20" width="9.140625" style="19" customWidth="1" outlineLevel="1"/>
    <col min="21" max="21" width="10.5703125" style="19" customWidth="1" outlineLevel="1"/>
    <col min="22" max="22" width="3" style="19" customWidth="1" outlineLevel="1"/>
    <col min="23" max="23" width="11.5703125" style="128" customWidth="1"/>
    <col min="24" max="25" width="9.140625" style="19" customWidth="1" outlineLevel="1"/>
    <col min="26" max="26" width="10.5703125" style="19" customWidth="1" outlineLevel="1"/>
    <col min="27" max="27" width="2.85546875" style="19" customWidth="1" outlineLevel="1"/>
    <col min="28" max="28" width="9.140625" style="19" customWidth="1" outlineLevel="1"/>
    <col min="29" max="29" width="9.140625" customWidth="1" outlineLevel="1"/>
    <col min="30" max="30" width="10.5703125" customWidth="1" outlineLevel="1"/>
    <col min="31" max="31" width="2.5703125" customWidth="1" outlineLevel="1"/>
    <col min="32" max="33" width="9.140625" customWidth="1" outlineLevel="1"/>
    <col min="34" max="34" width="10.5703125" customWidth="1" outlineLevel="1"/>
    <col min="35" max="35" width="2.140625" customWidth="1" outlineLevel="1"/>
    <col min="36" max="37" width="9.140625" customWidth="1" outlineLevel="1"/>
    <col min="38" max="38" width="10.5703125" customWidth="1" outlineLevel="1"/>
    <col min="39" max="39" width="3.140625" customWidth="1" outlineLevel="1"/>
  </cols>
  <sheetData>
    <row r="1" spans="1:39" x14ac:dyDescent="0.25">
      <c r="B1" t="s">
        <v>717</v>
      </c>
      <c r="C1" s="120">
        <v>1.25</v>
      </c>
      <c r="G1" s="288">
        <v>10000</v>
      </c>
      <c r="H1" s="288"/>
      <c r="I1" s="288"/>
      <c r="K1" s="288">
        <v>15000</v>
      </c>
      <c r="L1" s="288"/>
      <c r="M1" s="288"/>
      <c r="O1" s="288">
        <v>20000</v>
      </c>
      <c r="P1" s="288"/>
      <c r="Q1" s="288"/>
      <c r="S1" s="288">
        <v>25000</v>
      </c>
      <c r="T1" s="288"/>
      <c r="U1" s="288"/>
      <c r="X1" s="288">
        <v>10000</v>
      </c>
      <c r="Y1" s="288"/>
      <c r="Z1" s="288"/>
      <c r="AB1" s="288">
        <v>15000</v>
      </c>
      <c r="AC1" s="288"/>
      <c r="AD1" s="288"/>
      <c r="AE1" s="19"/>
      <c r="AF1" s="288">
        <v>20000</v>
      </c>
      <c r="AG1" s="288"/>
      <c r="AH1" s="288"/>
      <c r="AI1" s="19"/>
      <c r="AJ1" s="288">
        <v>25000</v>
      </c>
      <c r="AK1" s="288"/>
      <c r="AL1" s="288"/>
      <c r="AM1" s="19"/>
    </row>
    <row r="2" spans="1:39" x14ac:dyDescent="0.25">
      <c r="C2" t="s">
        <v>718</v>
      </c>
      <c r="G2" s="21" t="s">
        <v>721</v>
      </c>
      <c r="H2" t="s">
        <v>719</v>
      </c>
      <c r="I2" t="s">
        <v>720</v>
      </c>
      <c r="K2" s="21" t="s">
        <v>721</v>
      </c>
      <c r="L2" s="19" t="s">
        <v>719</v>
      </c>
      <c r="M2" s="19" t="s">
        <v>720</v>
      </c>
      <c r="O2" s="21" t="s">
        <v>721</v>
      </c>
      <c r="P2" s="19" t="s">
        <v>719</v>
      </c>
      <c r="Q2" s="19" t="s">
        <v>720</v>
      </c>
      <c r="S2" s="21" t="s">
        <v>721</v>
      </c>
      <c r="T2" s="19" t="s">
        <v>719</v>
      </c>
      <c r="U2" s="19" t="s">
        <v>720</v>
      </c>
      <c r="X2" s="21" t="s">
        <v>721</v>
      </c>
      <c r="Y2" s="19" t="s">
        <v>719</v>
      </c>
      <c r="Z2" s="19" t="s">
        <v>720</v>
      </c>
      <c r="AB2" s="21" t="s">
        <v>721</v>
      </c>
      <c r="AC2" s="19" t="s">
        <v>719</v>
      </c>
      <c r="AD2" s="19" t="s">
        <v>720</v>
      </c>
      <c r="AE2" s="19"/>
      <c r="AF2" s="21" t="s">
        <v>721</v>
      </c>
      <c r="AG2" s="19" t="s">
        <v>719</v>
      </c>
      <c r="AH2" s="19" t="s">
        <v>720</v>
      </c>
      <c r="AI2" s="19"/>
      <c r="AJ2" s="21" t="s">
        <v>721</v>
      </c>
      <c r="AK2" s="19" t="s">
        <v>719</v>
      </c>
      <c r="AL2" s="19" t="s">
        <v>720</v>
      </c>
      <c r="AM2" s="19"/>
    </row>
    <row r="3" spans="1:39" x14ac:dyDescent="0.25">
      <c r="A3" t="s">
        <v>723</v>
      </c>
      <c r="B3" s="112" t="s">
        <v>302</v>
      </c>
      <c r="C3" s="119">
        <v>0.32</v>
      </c>
      <c r="E3" s="87">
        <f>('1.ANC'!C53/4)</f>
        <v>126.46390000000002</v>
      </c>
      <c r="G3" s="21">
        <f>pop_1*preg_pop</f>
        <v>289.80000000000007</v>
      </c>
      <c r="H3" s="22">
        <f>G3*$C3</f>
        <v>92.736000000000018</v>
      </c>
      <c r="I3" s="21">
        <f>H3*$E3*buffer_stock</f>
        <v>14659.695288000004</v>
      </c>
      <c r="K3" s="21">
        <f>pop_2*preg_pop</f>
        <v>434.70000000000016</v>
      </c>
      <c r="L3" s="22">
        <f>K3*$C3</f>
        <v>139.10400000000004</v>
      </c>
      <c r="M3" s="21">
        <f>L3*$E3*buffer_stock</f>
        <v>21989.542932000008</v>
      </c>
      <c r="O3" s="21">
        <f>pop_3*preg_pop</f>
        <v>579.60000000000014</v>
      </c>
      <c r="P3" s="22">
        <f>O3*$C3</f>
        <v>185.47200000000004</v>
      </c>
      <c r="Q3" s="21">
        <f>P3*$E3*buffer_stock</f>
        <v>29319.390576000009</v>
      </c>
      <c r="S3" s="21">
        <f>Pop_4*preg_pop</f>
        <v>724.50000000000023</v>
      </c>
      <c r="T3" s="22">
        <f>S3*$C3</f>
        <v>231.84000000000009</v>
      </c>
      <c r="U3" s="21">
        <f>T3*$E3*buffer_stock</f>
        <v>36649.238220000021</v>
      </c>
      <c r="W3" s="129"/>
      <c r="X3" s="21">
        <f>pop_1*preg_pop</f>
        <v>289.80000000000007</v>
      </c>
      <c r="Y3" s="22">
        <f>X3*$C3*(1+perc_increase)</f>
        <v>106.64640000000001</v>
      </c>
      <c r="Z3" s="21">
        <f>Y3*$E3*buffer_stock</f>
        <v>16858.649581200003</v>
      </c>
      <c r="AA3" s="35"/>
      <c r="AB3" s="21">
        <f>pop_2*preg_pop</f>
        <v>434.70000000000016</v>
      </c>
      <c r="AC3" s="22">
        <f>AB3*$C3*(1+perc_increase)</f>
        <v>159.96960000000004</v>
      </c>
      <c r="AD3" s="21">
        <f>AC3*$E3*buffer_stock</f>
        <v>25287.97437180001</v>
      </c>
      <c r="AE3" s="19"/>
      <c r="AF3" s="21">
        <f>pop_3*preg_pop</f>
        <v>579.60000000000014</v>
      </c>
      <c r="AG3" s="22">
        <f>AF3*$C3*(1+perc_increase)</f>
        <v>213.29280000000003</v>
      </c>
      <c r="AH3" s="21">
        <f>AG3*$E3*buffer_stock</f>
        <v>33717.299162400006</v>
      </c>
      <c r="AI3" s="19"/>
      <c r="AJ3" s="21">
        <f>Pop_4*preg_pop</f>
        <v>724.50000000000023</v>
      </c>
      <c r="AK3" s="22">
        <f>AJ3*$C3*(1+perc_increase)</f>
        <v>266.6160000000001</v>
      </c>
      <c r="AL3" s="21">
        <f>AK3*$E3*buffer_stock</f>
        <v>42146.623953000024</v>
      </c>
      <c r="AM3" s="19"/>
    </row>
    <row r="4" spans="1:39" x14ac:dyDescent="0.25">
      <c r="B4" s="112" t="s">
        <v>569</v>
      </c>
      <c r="C4" s="119">
        <v>0.02</v>
      </c>
      <c r="E4" s="87">
        <f>'2.Delivery'!C53</f>
        <v>189.34744444444442</v>
      </c>
      <c r="G4" s="21">
        <f>pop_1*preg_pop</f>
        <v>289.80000000000007</v>
      </c>
      <c r="H4" s="22">
        <f t="shared" ref="H4:H56" si="0">G4*$C4</f>
        <v>5.7960000000000012</v>
      </c>
      <c r="I4" s="21">
        <f>H4*$E4*buffer_stock</f>
        <v>1371.8222350000001</v>
      </c>
      <c r="K4" s="21">
        <f>pop_2*preg_pop</f>
        <v>434.70000000000016</v>
      </c>
      <c r="L4" s="22">
        <f t="shared" ref="L4:L54" si="1">K4*$C4</f>
        <v>8.6940000000000026</v>
      </c>
      <c r="M4" s="21">
        <f>L4*$E4*buffer_stock</f>
        <v>2057.7333525000004</v>
      </c>
      <c r="O4" s="21">
        <f>pop_3*preg_pop</f>
        <v>579.60000000000014</v>
      </c>
      <c r="P4" s="22">
        <f t="shared" ref="P4:P54" si="2">O4*$C4</f>
        <v>11.592000000000002</v>
      </c>
      <c r="Q4" s="21">
        <f>P4*$E4*buffer_stock</f>
        <v>2743.6444700000002</v>
      </c>
      <c r="S4" s="21">
        <f>Pop_4*preg_pop</f>
        <v>724.50000000000023</v>
      </c>
      <c r="T4" s="22">
        <f t="shared" ref="T4:T54" si="3">S4*$C4</f>
        <v>14.490000000000006</v>
      </c>
      <c r="U4" s="21">
        <f>T4*$E4*buffer_stock</f>
        <v>3429.5555875000009</v>
      </c>
      <c r="W4" s="129"/>
      <c r="X4" s="21">
        <f>pop_1*preg_pop</f>
        <v>289.80000000000007</v>
      </c>
      <c r="Y4" s="22">
        <f>X4*$C4*(1+perc_increase)</f>
        <v>6.6654000000000009</v>
      </c>
      <c r="Z4" s="21">
        <f>Y4*$E4*buffer_stock</f>
        <v>1577.59557025</v>
      </c>
      <c r="AB4" s="21">
        <f>pop_2*preg_pop</f>
        <v>434.70000000000016</v>
      </c>
      <c r="AC4" s="22">
        <f>AB4*$C4*(1+perc_increase)</f>
        <v>9.9981000000000027</v>
      </c>
      <c r="AD4" s="21">
        <f>AC4*$E4*buffer_stock</f>
        <v>2366.3933553750003</v>
      </c>
      <c r="AE4" s="19"/>
      <c r="AF4" s="21">
        <f>pop_3*preg_pop</f>
        <v>579.60000000000014</v>
      </c>
      <c r="AG4" s="22">
        <f>AF4*$C4*(1+perc_increase)</f>
        <v>13.330800000000002</v>
      </c>
      <c r="AH4" s="21">
        <f>AG4*$E4*buffer_stock</f>
        <v>3155.1911405000001</v>
      </c>
      <c r="AI4" s="19"/>
      <c r="AJ4" s="21">
        <f>Pop_4*preg_pop</f>
        <v>724.50000000000023</v>
      </c>
      <c r="AK4" s="22">
        <f>AJ4*$C4*(1+perc_increase)</f>
        <v>16.663500000000006</v>
      </c>
      <c r="AL4" s="21">
        <f>AK4*$E4*buffer_stock</f>
        <v>3943.9889256250012</v>
      </c>
      <c r="AM4" s="19"/>
    </row>
    <row r="5" spans="1:39" x14ac:dyDescent="0.25">
      <c r="A5" t="s">
        <v>723</v>
      </c>
      <c r="B5" s="112" t="s">
        <v>570</v>
      </c>
      <c r="C5" s="41">
        <v>0.06</v>
      </c>
      <c r="E5" s="87">
        <f>'3.Post_partum'!C53</f>
        <v>182.98320000000001</v>
      </c>
      <c r="G5" s="21">
        <f>pop_1*lb_pop</f>
        <v>276.00000000000006</v>
      </c>
      <c r="H5" s="22">
        <f t="shared" si="0"/>
        <v>16.560000000000002</v>
      </c>
      <c r="I5" s="21">
        <f>H5*$E5*buffer_stock</f>
        <v>3787.7522400000007</v>
      </c>
      <c r="K5" s="21">
        <f>pop_2*lb_pop</f>
        <v>414.00000000000011</v>
      </c>
      <c r="L5" s="22">
        <f t="shared" si="1"/>
        <v>24.840000000000007</v>
      </c>
      <c r="M5" s="21">
        <f>L5*$E5*buffer_stock</f>
        <v>5681.6283600000024</v>
      </c>
      <c r="O5" s="21">
        <f>pop_3*lb_pop</f>
        <v>552.00000000000011</v>
      </c>
      <c r="P5" s="22">
        <f t="shared" si="2"/>
        <v>33.120000000000005</v>
      </c>
      <c r="Q5" s="21">
        <f>P5*$E5*buffer_stock</f>
        <v>7575.5044800000014</v>
      </c>
      <c r="S5" s="21">
        <f>Pop_4*lb_pop</f>
        <v>690.00000000000011</v>
      </c>
      <c r="T5" s="22">
        <f t="shared" si="3"/>
        <v>41.400000000000006</v>
      </c>
      <c r="U5" s="21">
        <f>T5*$E5*buffer_stock</f>
        <v>9469.3806000000022</v>
      </c>
      <c r="W5" s="129"/>
      <c r="X5" s="21">
        <f>pop_1*lb_pop</f>
        <v>276.00000000000006</v>
      </c>
      <c r="Y5" s="22">
        <f>X5*$C5*(1+perc_increase)</f>
        <v>19.044</v>
      </c>
      <c r="Z5" s="21">
        <f>Y5*$E5*buffer_stock</f>
        <v>4355.9150760000002</v>
      </c>
      <c r="AB5" s="21">
        <f>pop_2*lb_pop</f>
        <v>414.00000000000011</v>
      </c>
      <c r="AC5" s="22">
        <f>AB5*$C5*(1+perc_increase)</f>
        <v>28.566000000000006</v>
      </c>
      <c r="AD5" s="21">
        <f>AC5*$E5*buffer_stock</f>
        <v>6533.8726140000017</v>
      </c>
      <c r="AE5" s="19"/>
      <c r="AF5" s="21">
        <f>pop_3*lb_pop</f>
        <v>552.00000000000011</v>
      </c>
      <c r="AG5" s="22">
        <f>AF5*$C5*(1+perc_increase)</f>
        <v>38.088000000000001</v>
      </c>
      <c r="AH5" s="21">
        <f>AG5*$E5*buffer_stock</f>
        <v>8711.8301520000005</v>
      </c>
      <c r="AI5" s="19"/>
      <c r="AJ5" s="21">
        <f>Pop_4*lb_pop</f>
        <v>690.00000000000011</v>
      </c>
      <c r="AK5" s="22">
        <f>AJ5*$C5*(1+perc_increase)</f>
        <v>47.61</v>
      </c>
      <c r="AL5" s="21">
        <f>AK5*$E5*buffer_stock</f>
        <v>10889.787690000001</v>
      </c>
      <c r="AM5" s="19"/>
    </row>
    <row r="6" spans="1:39" x14ac:dyDescent="0.25">
      <c r="A6" t="s">
        <v>723</v>
      </c>
      <c r="B6" s="112" t="s">
        <v>515</v>
      </c>
      <c r="C6" s="119">
        <v>0.02</v>
      </c>
      <c r="E6" s="87">
        <f>'4.Newborn_care'!C53</f>
        <v>104.85379999999999</v>
      </c>
      <c r="G6" s="21">
        <f>pop_1*lb_pop</f>
        <v>276.00000000000006</v>
      </c>
      <c r="H6" s="22">
        <f t="shared" si="0"/>
        <v>5.5200000000000014</v>
      </c>
      <c r="I6" s="21">
        <f>H6*$E6*buffer_stock</f>
        <v>723.49122000000011</v>
      </c>
      <c r="K6" s="21">
        <f>pop_2*lb_pop</f>
        <v>414.00000000000011</v>
      </c>
      <c r="L6" s="22">
        <f t="shared" si="1"/>
        <v>8.2800000000000029</v>
      </c>
      <c r="M6" s="21">
        <f>L6*$E6*buffer_stock</f>
        <v>1085.2368300000003</v>
      </c>
      <c r="O6" s="21">
        <f>pop_3*lb_pop</f>
        <v>552.00000000000011</v>
      </c>
      <c r="P6" s="22">
        <f t="shared" si="2"/>
        <v>11.040000000000003</v>
      </c>
      <c r="Q6" s="21">
        <f>P6*$E6*buffer_stock</f>
        <v>1446.9824400000002</v>
      </c>
      <c r="S6" s="21">
        <f>Pop_4*lb_pop</f>
        <v>690.00000000000011</v>
      </c>
      <c r="T6" s="22">
        <f t="shared" si="3"/>
        <v>13.800000000000002</v>
      </c>
      <c r="U6" s="21">
        <f>T6*$E6*buffer_stock</f>
        <v>1808.7280500000002</v>
      </c>
      <c r="W6" s="129"/>
      <c r="X6" s="21">
        <f>pop_1*lb_pop</f>
        <v>276.00000000000006</v>
      </c>
      <c r="Y6" s="22">
        <f>X6*$C6*(1+perc_increase)</f>
        <v>6.3480000000000008</v>
      </c>
      <c r="Z6" s="21">
        <f>Y6*$E6*buffer_stock</f>
        <v>832.014903</v>
      </c>
      <c r="AB6" s="21">
        <f>pop_2*lb_pop</f>
        <v>414.00000000000011</v>
      </c>
      <c r="AC6" s="22">
        <f>AB6*$C6*(1+perc_increase)</f>
        <v>9.522000000000002</v>
      </c>
      <c r="AD6" s="21">
        <f>AC6*$E6*buffer_stock</f>
        <v>1248.0223545000001</v>
      </c>
      <c r="AE6" s="19"/>
      <c r="AF6" s="21">
        <f>pop_3*lb_pop</f>
        <v>552.00000000000011</v>
      </c>
      <c r="AG6" s="22">
        <f>AF6*$C6*(1+perc_increase)</f>
        <v>12.696000000000002</v>
      </c>
      <c r="AH6" s="21">
        <f>AG6*$E6*buffer_stock</f>
        <v>1664.029806</v>
      </c>
      <c r="AI6" s="19"/>
      <c r="AJ6" s="21">
        <f>Pop_4*lb_pop</f>
        <v>690.00000000000011</v>
      </c>
      <c r="AK6" s="22">
        <f>AJ6*$C6*(1+perc_increase)</f>
        <v>15.870000000000001</v>
      </c>
      <c r="AL6" s="21">
        <f>AK6*$E6*buffer_stock</f>
        <v>2080.0372575000001</v>
      </c>
      <c r="AM6" s="19"/>
    </row>
    <row r="7" spans="1:39" x14ac:dyDescent="0.25">
      <c r="B7" s="112"/>
      <c r="C7" s="119"/>
      <c r="E7" s="87"/>
      <c r="H7" s="22"/>
      <c r="I7" s="21"/>
      <c r="K7" s="21"/>
      <c r="L7" s="22"/>
      <c r="M7" s="21"/>
      <c r="O7" s="21"/>
      <c r="P7" s="22"/>
      <c r="Q7" s="21"/>
      <c r="S7" s="21"/>
      <c r="T7" s="22"/>
      <c r="U7" s="21"/>
      <c r="W7" s="129"/>
      <c r="X7" s="21"/>
      <c r="Y7" s="22"/>
      <c r="Z7" s="21"/>
      <c r="AB7" s="21"/>
      <c r="AC7" s="22"/>
      <c r="AD7" s="21"/>
      <c r="AE7" s="19"/>
      <c r="AF7" s="21"/>
      <c r="AG7" s="22"/>
      <c r="AH7" s="21"/>
      <c r="AI7" s="19"/>
      <c r="AJ7" s="21"/>
      <c r="AK7" s="22"/>
      <c r="AL7" s="21"/>
      <c r="AM7" s="19"/>
    </row>
    <row r="8" spans="1:39" x14ac:dyDescent="0.25">
      <c r="A8" t="s">
        <v>724</v>
      </c>
      <c r="B8" s="112" t="s">
        <v>80</v>
      </c>
      <c r="C8" s="42">
        <v>5.5E-2</v>
      </c>
      <c r="E8" s="87">
        <f>'5.Child_pneumonia'!C53</f>
        <v>52.199999999999996</v>
      </c>
      <c r="G8" s="21">
        <f>pop_1*u5_pop</f>
        <v>1419.9999999999998</v>
      </c>
      <c r="H8" s="22">
        <f t="shared" si="0"/>
        <v>78.099999999999994</v>
      </c>
      <c r="I8" s="21">
        <f>H8*$E8*buffer_stock</f>
        <v>5096.0249999999987</v>
      </c>
      <c r="K8" s="21">
        <f>pop_2*u5_pop</f>
        <v>2130</v>
      </c>
      <c r="L8" s="22">
        <f t="shared" si="1"/>
        <v>117.15</v>
      </c>
      <c r="M8" s="21">
        <f>L8*$E8*buffer_stock</f>
        <v>7644.0374999999995</v>
      </c>
      <c r="O8" s="21">
        <f>pop_3*u5_pop</f>
        <v>2839.9999999999995</v>
      </c>
      <c r="P8" s="22">
        <f t="shared" si="2"/>
        <v>156.19999999999999</v>
      </c>
      <c r="Q8" s="21">
        <f>P8*$E8*buffer_stock</f>
        <v>10192.049999999997</v>
      </c>
      <c r="S8" s="21">
        <f>Pop_4*u5_pop</f>
        <v>3549.9999999999995</v>
      </c>
      <c r="T8" s="22">
        <f t="shared" si="3"/>
        <v>195.24999999999997</v>
      </c>
      <c r="U8" s="21">
        <f>T8*$E8*buffer_stock</f>
        <v>12740.062499999996</v>
      </c>
      <c r="W8" s="129"/>
      <c r="X8" s="21">
        <f>pop_1*u5_pop</f>
        <v>1419.9999999999998</v>
      </c>
      <c r="Y8" s="22">
        <f>X8*$C8*(1+perc_increase)</f>
        <v>89.814999999999984</v>
      </c>
      <c r="Z8" s="21">
        <f>Y8*$E8*buffer_stock</f>
        <v>5860.4287499999991</v>
      </c>
      <c r="AB8" s="21">
        <f>pop_2*u5_pop</f>
        <v>2130</v>
      </c>
      <c r="AC8" s="22">
        <f>AB8*$C8*(1+perc_increase)</f>
        <v>134.7225</v>
      </c>
      <c r="AD8" s="21">
        <f>AC8*$E8*buffer_stock</f>
        <v>8790.6431249999987</v>
      </c>
      <c r="AE8" s="19"/>
      <c r="AF8" s="21">
        <f>pop_3*u5_pop</f>
        <v>2839.9999999999995</v>
      </c>
      <c r="AG8" s="22">
        <f>AF8*$C8*(1+perc_increase)</f>
        <v>179.62999999999997</v>
      </c>
      <c r="AH8" s="21">
        <f>AG8*$E8*buffer_stock</f>
        <v>11720.857499999998</v>
      </c>
      <c r="AI8" s="19"/>
      <c r="AJ8" s="21">
        <f>Pop_4*u5_pop</f>
        <v>3549.9999999999995</v>
      </c>
      <c r="AK8" s="22">
        <f>AJ8*$C8*(1+perc_increase)</f>
        <v>224.53749999999994</v>
      </c>
      <c r="AL8" s="21">
        <f>AK8*$E8*buffer_stock</f>
        <v>14651.071874999996</v>
      </c>
      <c r="AM8" s="19"/>
    </row>
    <row r="9" spans="1:39" x14ac:dyDescent="0.25">
      <c r="A9" t="s">
        <v>724</v>
      </c>
      <c r="B9" s="112" t="s">
        <v>158</v>
      </c>
      <c r="C9" s="42">
        <v>0.15</v>
      </c>
      <c r="E9" s="87">
        <f>AVERAGE('6.Child_Wheeze'!C53,'7.Child_ear'!C53,'11.Child_Fever'!C53)</f>
        <v>21.87</v>
      </c>
      <c r="G9" s="21">
        <f>pop_1*above5_pop</f>
        <v>8580</v>
      </c>
      <c r="H9" s="22">
        <f t="shared" si="0"/>
        <v>1287</v>
      </c>
      <c r="I9" s="21">
        <f>H9*$E9*buffer_stock</f>
        <v>35183.362500000003</v>
      </c>
      <c r="K9" s="21">
        <f>pop_2*above5_pop</f>
        <v>12870</v>
      </c>
      <c r="L9" s="22">
        <f t="shared" si="1"/>
        <v>1930.5</v>
      </c>
      <c r="M9" s="21">
        <f>L9*$E9*buffer_stock</f>
        <v>52775.043750000004</v>
      </c>
      <c r="O9" s="21">
        <f>pop_3*above5_pop</f>
        <v>17160</v>
      </c>
      <c r="P9" s="22">
        <f t="shared" si="2"/>
        <v>2574</v>
      </c>
      <c r="Q9" s="21">
        <f>P9*$E9*buffer_stock</f>
        <v>70366.725000000006</v>
      </c>
      <c r="S9" s="21">
        <f>Pop_4*above5_pop</f>
        <v>21450</v>
      </c>
      <c r="T9" s="22">
        <f t="shared" si="3"/>
        <v>3217.5</v>
      </c>
      <c r="U9" s="21">
        <f>T9*$E9*buffer_stock</f>
        <v>87958.40625</v>
      </c>
      <c r="W9" s="129"/>
      <c r="X9" s="21">
        <f>pop_1*above5_pop</f>
        <v>8580</v>
      </c>
      <c r="Y9" s="22">
        <f>X9*$C9*(1+perc_increase)</f>
        <v>1480.05</v>
      </c>
      <c r="Z9" s="21">
        <f>Y9*$E9*buffer_stock</f>
        <v>40460.866875</v>
      </c>
      <c r="AB9" s="21">
        <f>pop_2*above5_pop</f>
        <v>12870</v>
      </c>
      <c r="AC9" s="22">
        <f>AB9*$C9*(1+perc_increase)</f>
        <v>2220.0749999999998</v>
      </c>
      <c r="AD9" s="21">
        <f>AC9*$E9*buffer_stock</f>
        <v>60691.300312499996</v>
      </c>
      <c r="AE9" s="19"/>
      <c r="AF9" s="21">
        <f>pop_3*above5_pop</f>
        <v>17160</v>
      </c>
      <c r="AG9" s="22">
        <f>AF9*$C9*(1+perc_increase)</f>
        <v>2960.1</v>
      </c>
      <c r="AH9" s="21">
        <f>AG9*$E9*buffer_stock</f>
        <v>80921.733749999999</v>
      </c>
      <c r="AI9" s="19"/>
      <c r="AJ9" s="21">
        <f>Pop_4*above5_pop</f>
        <v>21450</v>
      </c>
      <c r="AK9" s="22">
        <f>AJ9*$C9*(1+perc_increase)</f>
        <v>3700.1249999999995</v>
      </c>
      <c r="AL9" s="21">
        <f>AK9*$E9*buffer_stock</f>
        <v>101152.1671875</v>
      </c>
      <c r="AM9" s="19"/>
    </row>
    <row r="10" spans="1:39" x14ac:dyDescent="0.25">
      <c r="A10" t="s">
        <v>724</v>
      </c>
      <c r="B10" s="112" t="s">
        <v>601</v>
      </c>
      <c r="C10" s="42">
        <v>0.21</v>
      </c>
      <c r="E10" s="87">
        <f>AVERAGE('8.Child_diarh_nodehy'!C53,'9.Child_diarh_some_dehyd'!C53,'10.Child_Dys'!C53)</f>
        <v>43.750173333333329</v>
      </c>
      <c r="G10" s="21">
        <f>pop_1*above5_pop</f>
        <v>8580</v>
      </c>
      <c r="H10" s="22">
        <f t="shared" si="0"/>
        <v>1801.8</v>
      </c>
      <c r="I10" s="21">
        <f>H10*$E10*buffer_stock</f>
        <v>98536.327889999986</v>
      </c>
      <c r="K10" s="21">
        <f>pop_2*above5_pop</f>
        <v>12870</v>
      </c>
      <c r="L10" s="22">
        <f t="shared" si="1"/>
        <v>2702.7</v>
      </c>
      <c r="M10" s="21">
        <f>L10*$E10*buffer_stock</f>
        <v>147804.49183499996</v>
      </c>
      <c r="O10" s="21">
        <f>pop_3*above5_pop</f>
        <v>17160</v>
      </c>
      <c r="P10" s="22">
        <f t="shared" si="2"/>
        <v>3603.6</v>
      </c>
      <c r="Q10" s="21">
        <f>P10*$E10*buffer_stock</f>
        <v>197072.65577999997</v>
      </c>
      <c r="S10" s="21">
        <f>Pop_4*above5_pop</f>
        <v>21450</v>
      </c>
      <c r="T10" s="22">
        <f t="shared" si="3"/>
        <v>4504.5</v>
      </c>
      <c r="U10" s="21">
        <f>T10*$E10*buffer_stock</f>
        <v>246340.81972499995</v>
      </c>
      <c r="W10" s="129"/>
      <c r="X10" s="21">
        <f>pop_1*above5_pop</f>
        <v>8580</v>
      </c>
      <c r="Y10" s="22">
        <f>X10*$C10*(1+perc_increase)</f>
        <v>2072.0699999999997</v>
      </c>
      <c r="Z10" s="21">
        <f>Y10*$E10*buffer_stock</f>
        <v>113316.77707349998</v>
      </c>
      <c r="AB10" s="21">
        <f>pop_2*above5_pop</f>
        <v>12870</v>
      </c>
      <c r="AC10" s="22">
        <f>AB10*$C10*(1+perc_increase)</f>
        <v>3108.1049999999996</v>
      </c>
      <c r="AD10" s="21">
        <f>AC10*$E10*buffer_stock</f>
        <v>169975.16561024997</v>
      </c>
      <c r="AE10" s="19"/>
      <c r="AF10" s="21">
        <f>pop_3*above5_pop</f>
        <v>17160</v>
      </c>
      <c r="AG10" s="22">
        <f>AF10*$C10*(1+perc_increase)</f>
        <v>4144.1399999999994</v>
      </c>
      <c r="AH10" s="21">
        <f>AG10*$E10*buffer_stock</f>
        <v>226633.55414699996</v>
      </c>
      <c r="AI10" s="19"/>
      <c r="AJ10" s="21">
        <f>Pop_4*above5_pop</f>
        <v>21450</v>
      </c>
      <c r="AK10" s="22">
        <f>AJ10*$C10*(1+perc_increase)</f>
        <v>5180.1749999999993</v>
      </c>
      <c r="AL10" s="21">
        <f>AK10*$E10*buffer_stock</f>
        <v>283291.94268374995</v>
      </c>
      <c r="AM10" s="19"/>
    </row>
    <row r="11" spans="1:39" x14ac:dyDescent="0.25">
      <c r="B11" s="112"/>
      <c r="E11" s="87"/>
      <c r="H11" s="22"/>
      <c r="I11" s="21"/>
      <c r="K11" s="21"/>
      <c r="L11" s="22"/>
      <c r="M11" s="21"/>
      <c r="O11" s="21"/>
      <c r="P11" s="22"/>
      <c r="Q11" s="21"/>
      <c r="S11" s="21"/>
      <c r="T11" s="22"/>
      <c r="U11" s="21"/>
      <c r="W11" s="129"/>
      <c r="X11" s="21"/>
      <c r="Y11" s="22"/>
      <c r="Z11" s="21"/>
      <c r="AB11" s="21"/>
      <c r="AC11" s="22"/>
      <c r="AD11" s="21"/>
      <c r="AE11" s="19"/>
      <c r="AF11" s="21"/>
      <c r="AG11" s="22"/>
      <c r="AH11" s="21"/>
      <c r="AI11" s="19"/>
      <c r="AJ11" s="21"/>
      <c r="AK11" s="22"/>
      <c r="AL11" s="21"/>
      <c r="AM11" s="19"/>
    </row>
    <row r="12" spans="1:39" x14ac:dyDescent="0.25">
      <c r="A12" t="s">
        <v>723</v>
      </c>
      <c r="B12" s="112" t="s">
        <v>65</v>
      </c>
      <c r="C12" s="41">
        <v>0.09</v>
      </c>
      <c r="E12" s="87">
        <f>'11.Immunisation'!C53</f>
        <v>3344.4871999999996</v>
      </c>
      <c r="G12" s="21">
        <f>pop_1*child23_pop</f>
        <v>268.38</v>
      </c>
      <c r="H12" s="22">
        <f t="shared" si="0"/>
        <v>24.154199999999999</v>
      </c>
      <c r="I12" s="21">
        <f>H12*$E12*1.1</f>
        <v>88861.753998863991</v>
      </c>
      <c r="K12" s="21">
        <f>pop_2*child23_pop</f>
        <v>402.56999999999994</v>
      </c>
      <c r="L12" s="22">
        <f t="shared" si="1"/>
        <v>36.23129999999999</v>
      </c>
      <c r="M12" s="21">
        <f>L12*$E12*1.1</f>
        <v>133292.63099829596</v>
      </c>
      <c r="O12" s="21">
        <f>pop_3*child23_pop</f>
        <v>536.76</v>
      </c>
      <c r="P12" s="22">
        <f t="shared" si="2"/>
        <v>48.308399999999999</v>
      </c>
      <c r="Q12" s="21">
        <f>P12*$E12*1.1</f>
        <v>177723.50799772798</v>
      </c>
      <c r="S12" s="21">
        <f>Pop_4*child23_pop</f>
        <v>670.94999999999993</v>
      </c>
      <c r="T12" s="22">
        <f t="shared" si="3"/>
        <v>60.385499999999993</v>
      </c>
      <c r="U12" s="21">
        <f>T12*$E12*1.1</f>
        <v>222154.38499715994</v>
      </c>
      <c r="W12" s="129"/>
      <c r="X12" s="21">
        <f>pop_1*child23_pop</f>
        <v>268.38</v>
      </c>
      <c r="Y12" s="22">
        <f>X12*$C12*(1+perc_increase)</f>
        <v>27.777329999999996</v>
      </c>
      <c r="Z12" s="21">
        <f>Y12*$E12*1.1</f>
        <v>102191.01709869358</v>
      </c>
      <c r="AB12" s="21">
        <f>pop_2*child23_pop</f>
        <v>402.56999999999994</v>
      </c>
      <c r="AC12" s="22">
        <f>AB12*$C12*(1+perc_increase)</f>
        <v>41.665994999999988</v>
      </c>
      <c r="AD12" s="21">
        <f>AC12*$E12*1.1</f>
        <v>153286.52564804035</v>
      </c>
      <c r="AE12" s="19"/>
      <c r="AF12" s="21">
        <f>pop_3*child23_pop</f>
        <v>536.76</v>
      </c>
      <c r="AG12" s="22">
        <f>AF12*$C12*(1+perc_increase)</f>
        <v>55.554659999999991</v>
      </c>
      <c r="AH12" s="21">
        <f>AG12*$E12*1.1</f>
        <v>204382.03419738717</v>
      </c>
      <c r="AI12" s="19"/>
      <c r="AJ12" s="21">
        <f>Pop_4*child23_pop</f>
        <v>670.94999999999993</v>
      </c>
      <c r="AK12" s="22">
        <f>AJ12*$C12*(1+perc_increase)</f>
        <v>69.443324999999987</v>
      </c>
      <c r="AL12" s="21">
        <f>AK12*$E12*1.1</f>
        <v>255477.54274673396</v>
      </c>
      <c r="AM12" s="19"/>
    </row>
    <row r="13" spans="1:39" x14ac:dyDescent="0.25">
      <c r="B13" s="112"/>
      <c r="E13" s="87"/>
      <c r="H13" s="22"/>
      <c r="I13" s="21"/>
      <c r="K13" s="21"/>
      <c r="L13" s="22"/>
      <c r="M13" s="21"/>
      <c r="O13" s="21"/>
      <c r="P13" s="22"/>
      <c r="Q13" s="21"/>
      <c r="S13" s="21"/>
      <c r="T13" s="22"/>
      <c r="U13" s="21"/>
      <c r="W13" s="129"/>
      <c r="X13" s="21"/>
      <c r="Y13" s="22"/>
      <c r="Z13" s="21"/>
      <c r="AB13" s="21"/>
      <c r="AC13" s="22"/>
      <c r="AD13" s="21"/>
      <c r="AE13" s="19"/>
      <c r="AF13" s="21"/>
      <c r="AG13" s="22"/>
      <c r="AH13" s="21"/>
      <c r="AI13" s="19"/>
      <c r="AJ13" s="21"/>
      <c r="AK13" s="22"/>
      <c r="AL13" s="21"/>
      <c r="AM13" s="19"/>
    </row>
    <row r="14" spans="1:39" x14ac:dyDescent="0.25">
      <c r="A14" t="s">
        <v>723</v>
      </c>
      <c r="B14" s="112" t="s">
        <v>602</v>
      </c>
      <c r="C14" s="121">
        <v>0.03</v>
      </c>
      <c r="E14" s="87">
        <f>'12.FP_condoms'!C53</f>
        <v>94.3</v>
      </c>
      <c r="G14" s="21">
        <f>pop_1*mwra_pop</f>
        <v>1425.8164199999999</v>
      </c>
      <c r="H14" s="22">
        <f t="shared" si="0"/>
        <v>42.774492599999995</v>
      </c>
      <c r="I14" s="21">
        <f>H14*$E14*buffer_stock</f>
        <v>5042.0433152249989</v>
      </c>
      <c r="K14" s="21">
        <f>pop_2*mwra_pop</f>
        <v>2138.7246299999997</v>
      </c>
      <c r="L14" s="22">
        <f t="shared" si="1"/>
        <v>64.161738899999989</v>
      </c>
      <c r="M14" s="21">
        <f>L14*$E14*buffer_stock</f>
        <v>7563.0649728374992</v>
      </c>
      <c r="O14" s="21">
        <f>pop_3*mwra_pop</f>
        <v>2851.6328399999998</v>
      </c>
      <c r="P14" s="22">
        <f t="shared" si="2"/>
        <v>85.54898519999999</v>
      </c>
      <c r="Q14" s="21">
        <f>P14*$E14*buffer_stock</f>
        <v>10084.086630449998</v>
      </c>
      <c r="S14" s="21">
        <f>Pop_4*mwra_pop</f>
        <v>3564.5410499999994</v>
      </c>
      <c r="T14" s="22">
        <f t="shared" si="3"/>
        <v>106.93623149999998</v>
      </c>
      <c r="U14" s="21">
        <f>T14*$E14*buffer_stock</f>
        <v>12605.108288062496</v>
      </c>
      <c r="W14" s="129"/>
      <c r="X14" s="21">
        <f>pop_1*mwra_pop</f>
        <v>1425.8164199999999</v>
      </c>
      <c r="Y14" s="22">
        <f>X14*$C14*(1+perc_increase)</f>
        <v>49.190666489999991</v>
      </c>
      <c r="Z14" s="21">
        <f>Y14*$E14*buffer_stock</f>
        <v>5798.349812508749</v>
      </c>
      <c r="AB14" s="21">
        <f>pop_2*mwra_pop</f>
        <v>2138.7246299999997</v>
      </c>
      <c r="AC14" s="22">
        <f>AB14*$C14*(1+perc_increase)</f>
        <v>73.785999734999976</v>
      </c>
      <c r="AD14" s="21">
        <f>AC14*$E14*buffer_stock</f>
        <v>8697.5247187631212</v>
      </c>
      <c r="AE14" s="19"/>
      <c r="AF14" s="21">
        <f>pop_3*mwra_pop</f>
        <v>2851.6328399999998</v>
      </c>
      <c r="AG14" s="22">
        <f>AF14*$C14*(1+perc_increase)</f>
        <v>98.381332979999982</v>
      </c>
      <c r="AH14" s="21">
        <f>AG14*$E14*buffer_stock</f>
        <v>11596.699625017498</v>
      </c>
      <c r="AI14" s="19"/>
      <c r="AJ14" s="21">
        <f>Pop_4*mwra_pop</f>
        <v>3564.5410499999994</v>
      </c>
      <c r="AK14" s="22">
        <f>AJ14*$C14*(1+perc_increase)</f>
        <v>122.97666622499996</v>
      </c>
      <c r="AL14" s="21">
        <f>AK14*$E14*buffer_stock</f>
        <v>14495.874531271871</v>
      </c>
      <c r="AM14" s="19"/>
    </row>
    <row r="15" spans="1:39" x14ac:dyDescent="0.25">
      <c r="A15" t="s">
        <v>723</v>
      </c>
      <c r="B15" s="112" t="s">
        <v>603</v>
      </c>
      <c r="C15" s="121">
        <v>1.7999999999999999E-2</v>
      </c>
      <c r="E15" s="87">
        <f>'13.FP_Oral'!C53</f>
        <v>91.4</v>
      </c>
      <c r="G15" s="21">
        <f>pop_1*mwra_pop</f>
        <v>1425.8164199999999</v>
      </c>
      <c r="H15" s="22">
        <f t="shared" si="0"/>
        <v>25.664695559999995</v>
      </c>
      <c r="I15" s="21">
        <f>H15*$E15*buffer_stock</f>
        <v>2932.1914677299997</v>
      </c>
      <c r="K15" s="21">
        <f>pop_2*mwra_pop</f>
        <v>2138.7246299999997</v>
      </c>
      <c r="L15" s="22">
        <f t="shared" si="1"/>
        <v>38.497043339999991</v>
      </c>
      <c r="M15" s="21">
        <f>L15*$E15*buffer_stock</f>
        <v>4398.2872015949997</v>
      </c>
      <c r="O15" s="21">
        <f>pop_3*mwra_pop</f>
        <v>2851.6328399999998</v>
      </c>
      <c r="P15" s="22">
        <f t="shared" si="2"/>
        <v>51.32939111999999</v>
      </c>
      <c r="Q15" s="21">
        <f>P15*$E15*buffer_stock</f>
        <v>5864.3829354599993</v>
      </c>
      <c r="S15" s="21">
        <f>Pop_4*mwra_pop</f>
        <v>3564.5410499999994</v>
      </c>
      <c r="T15" s="22">
        <f t="shared" si="3"/>
        <v>64.161738899999989</v>
      </c>
      <c r="U15" s="21">
        <f>T15*$E15*buffer_stock</f>
        <v>7330.4786693249989</v>
      </c>
      <c r="W15" s="129"/>
      <c r="X15" s="21">
        <f>pop_1*mwra_pop</f>
        <v>1425.8164199999999</v>
      </c>
      <c r="Y15" s="22">
        <f>X15*$C15*(1+perc_increase)</f>
        <v>29.514399893999993</v>
      </c>
      <c r="Z15" s="21">
        <f>Y15*$E15*buffer_stock</f>
        <v>3372.0201878894995</v>
      </c>
      <c r="AB15" s="21">
        <f>pop_2*mwra_pop</f>
        <v>2138.7246299999997</v>
      </c>
      <c r="AC15" s="22">
        <f>AB15*$C15*(1+perc_increase)</f>
        <v>44.271599840999983</v>
      </c>
      <c r="AD15" s="21">
        <f>AC15*$E15*buffer_stock</f>
        <v>5058.0302818342479</v>
      </c>
      <c r="AE15" s="19"/>
      <c r="AF15" s="21">
        <f>pop_3*mwra_pop</f>
        <v>2851.6328399999998</v>
      </c>
      <c r="AG15" s="22">
        <f>AF15*$C15*(1+perc_increase)</f>
        <v>59.028799787999986</v>
      </c>
      <c r="AH15" s="21">
        <f>AG15*$E15*buffer_stock</f>
        <v>6744.0403757789991</v>
      </c>
      <c r="AI15" s="19"/>
      <c r="AJ15" s="21">
        <f>Pop_4*mwra_pop</f>
        <v>3564.5410499999994</v>
      </c>
      <c r="AK15" s="22">
        <f>AJ15*$C15*(1+perc_increase)</f>
        <v>73.785999734999976</v>
      </c>
      <c r="AL15" s="21">
        <f>AK15*$E15*buffer_stock</f>
        <v>8430.0504697237484</v>
      </c>
      <c r="AM15" s="19"/>
    </row>
    <row r="16" spans="1:39" x14ac:dyDescent="0.25">
      <c r="A16" t="s">
        <v>723</v>
      </c>
      <c r="B16" s="112" t="s">
        <v>604</v>
      </c>
      <c r="C16" s="121">
        <v>1.7000000000000001E-2</v>
      </c>
      <c r="E16" s="87">
        <f>'14.FP_Inject'!C53</f>
        <v>64.072000000000003</v>
      </c>
      <c r="G16" s="21">
        <f>pop_1*mwra_pop</f>
        <v>1425.8164199999999</v>
      </c>
      <c r="H16" s="22">
        <f t="shared" si="0"/>
        <v>24.238879139999998</v>
      </c>
      <c r="I16" s="21">
        <f>H16*$E16*buffer_stock</f>
        <v>1941.2918303225999</v>
      </c>
      <c r="K16" s="21">
        <f>pop_2*mwra_pop</f>
        <v>2138.7246299999997</v>
      </c>
      <c r="L16" s="22">
        <f t="shared" si="1"/>
        <v>36.358318709999999</v>
      </c>
      <c r="M16" s="21">
        <f>L16*$E16*buffer_stock</f>
        <v>2911.9377454839005</v>
      </c>
      <c r="O16" s="21">
        <f>pop_3*mwra_pop</f>
        <v>2851.6328399999998</v>
      </c>
      <c r="P16" s="22">
        <f t="shared" si="2"/>
        <v>48.477758279999996</v>
      </c>
      <c r="Q16" s="21">
        <f>P16*$E16*buffer_stock</f>
        <v>3882.5836606451999</v>
      </c>
      <c r="S16" s="21">
        <f>Pop_4*mwra_pop</f>
        <v>3564.5410499999994</v>
      </c>
      <c r="T16" s="22">
        <f t="shared" si="3"/>
        <v>60.597197849999993</v>
      </c>
      <c r="U16" s="21">
        <f>T16*$E16*buffer_stock</f>
        <v>4853.2295758065002</v>
      </c>
      <c r="W16" s="129"/>
      <c r="X16" s="21">
        <f>pop_1*mwra_pop</f>
        <v>1425.8164199999999</v>
      </c>
      <c r="Y16" s="22">
        <f>X16*$C16*(1+perc_increase)</f>
        <v>27.874711010999995</v>
      </c>
      <c r="Z16" s="21">
        <f>Y16*$E16*buffer_stock</f>
        <v>2232.4856048709898</v>
      </c>
      <c r="AB16" s="21">
        <f>pop_2*mwra_pop</f>
        <v>2138.7246299999997</v>
      </c>
      <c r="AC16" s="22">
        <f>AB16*$C16*(1+perc_increase)</f>
        <v>41.812066516499996</v>
      </c>
      <c r="AD16" s="21">
        <f>AC16*$E16*buffer_stock</f>
        <v>3348.7284073064848</v>
      </c>
      <c r="AE16" s="19"/>
      <c r="AF16" s="21">
        <f>pop_3*mwra_pop</f>
        <v>2851.6328399999998</v>
      </c>
      <c r="AG16" s="22">
        <f>AF16*$C16*(1+perc_increase)</f>
        <v>55.74942202199999</v>
      </c>
      <c r="AH16" s="21">
        <f>AG16*$E16*buffer_stock</f>
        <v>4464.9712097419797</v>
      </c>
      <c r="AI16" s="19"/>
      <c r="AJ16" s="21">
        <f>Pop_4*mwra_pop</f>
        <v>3564.5410499999994</v>
      </c>
      <c r="AK16" s="22">
        <f>AJ16*$C16*(1+perc_increase)</f>
        <v>69.686777527499984</v>
      </c>
      <c r="AL16" s="21">
        <f>AK16*$E16*buffer_stock</f>
        <v>5581.2140121774737</v>
      </c>
      <c r="AM16" s="19"/>
    </row>
    <row r="17" spans="1:39" x14ac:dyDescent="0.25">
      <c r="A17" t="s">
        <v>723</v>
      </c>
      <c r="B17" s="112" t="s">
        <v>605</v>
      </c>
      <c r="C17" s="121">
        <v>2E-3</v>
      </c>
      <c r="E17" s="87">
        <f>'15.FP_IUD'!C53</f>
        <v>34.793777777777777</v>
      </c>
      <c r="G17" s="21">
        <f>pop_1*mwra_pop</f>
        <v>1425.8164199999999</v>
      </c>
      <c r="H17" s="22">
        <f t="shared" si="0"/>
        <v>2.8516328399999997</v>
      </c>
      <c r="I17" s="21">
        <f>H17*$E17*buffer_stock</f>
        <v>124.02384917346666</v>
      </c>
      <c r="K17" s="21">
        <f>pop_2*mwra_pop</f>
        <v>2138.7246299999997</v>
      </c>
      <c r="L17" s="22">
        <f t="shared" si="1"/>
        <v>4.2774492599999991</v>
      </c>
      <c r="M17" s="21">
        <f>L17*$E17*buffer_stock</f>
        <v>186.03577376019996</v>
      </c>
      <c r="O17" s="21">
        <f>pop_3*mwra_pop</f>
        <v>2851.6328399999998</v>
      </c>
      <c r="P17" s="22">
        <f t="shared" si="2"/>
        <v>5.7032656799999994</v>
      </c>
      <c r="Q17" s="21">
        <f>P17*$E17*buffer_stock</f>
        <v>248.04769834693332</v>
      </c>
      <c r="S17" s="21">
        <f>Pop_4*mwra_pop</f>
        <v>3564.5410499999994</v>
      </c>
      <c r="T17" s="22">
        <f t="shared" si="3"/>
        <v>7.1290820999999989</v>
      </c>
      <c r="U17" s="21">
        <f>T17*$E17*buffer_stock</f>
        <v>310.05962293366662</v>
      </c>
      <c r="W17" s="129"/>
      <c r="X17" s="21">
        <f>pop_1*mwra_pop</f>
        <v>1425.8164199999999</v>
      </c>
      <c r="Y17" s="22">
        <f>X17*$C17*(1+perc_increase)</f>
        <v>3.2793777659999996</v>
      </c>
      <c r="Z17" s="21">
        <f>Y17*$E17*buffer_stock</f>
        <v>142.62742654948664</v>
      </c>
      <c r="AB17" s="21">
        <f>pop_2*mwra_pop</f>
        <v>2138.7246299999997</v>
      </c>
      <c r="AC17" s="22">
        <f>AB17*$C17*(1+perc_increase)</f>
        <v>4.9190666489999986</v>
      </c>
      <c r="AD17" s="21">
        <f>AC17*$E17*buffer_stock</f>
        <v>213.94113982422994</v>
      </c>
      <c r="AE17" s="19"/>
      <c r="AF17" s="21">
        <f>pop_3*mwra_pop</f>
        <v>2851.6328399999998</v>
      </c>
      <c r="AG17" s="22">
        <f>AF17*$C17*(1+perc_increase)</f>
        <v>6.5587555319999993</v>
      </c>
      <c r="AH17" s="21">
        <f>AG17*$E17*buffer_stock</f>
        <v>285.25485309897329</v>
      </c>
      <c r="AI17" s="19"/>
      <c r="AJ17" s="21">
        <f>Pop_4*mwra_pop</f>
        <v>3564.5410499999994</v>
      </c>
      <c r="AK17" s="22">
        <f>AJ17*$C17*(1+perc_increase)</f>
        <v>8.1984444149999973</v>
      </c>
      <c r="AL17" s="21">
        <f>AK17*$E17*buffer_stock</f>
        <v>356.56856637371652</v>
      </c>
      <c r="AM17" s="19"/>
    </row>
    <row r="18" spans="1:39" x14ac:dyDescent="0.25">
      <c r="B18" s="112"/>
      <c r="C18" s="121"/>
      <c r="E18" s="87"/>
      <c r="H18" s="22"/>
      <c r="I18" s="21"/>
      <c r="K18" s="21"/>
      <c r="L18" s="22"/>
      <c r="M18" s="21"/>
      <c r="O18" s="21"/>
      <c r="P18" s="22"/>
      <c r="Q18" s="21"/>
      <c r="S18" s="21"/>
      <c r="T18" s="22"/>
      <c r="U18" s="21"/>
      <c r="W18" s="129"/>
      <c r="X18" s="21"/>
      <c r="Y18" s="22"/>
      <c r="Z18" s="21"/>
      <c r="AB18" s="21"/>
      <c r="AC18" s="22"/>
      <c r="AD18" s="21"/>
      <c r="AE18" s="19"/>
      <c r="AF18" s="21"/>
      <c r="AG18" s="22"/>
      <c r="AH18" s="21"/>
      <c r="AI18" s="19"/>
      <c r="AJ18" s="21"/>
      <c r="AK18" s="22"/>
      <c r="AL18" s="21"/>
      <c r="AM18" s="19"/>
    </row>
    <row r="19" spans="1:39" x14ac:dyDescent="0.25">
      <c r="A19" t="s">
        <v>724</v>
      </c>
      <c r="B19" s="112" t="s">
        <v>80</v>
      </c>
      <c r="C19" s="42">
        <v>0.01</v>
      </c>
      <c r="E19" s="87">
        <f>'18.ECM_Pneu'!C53</f>
        <v>58</v>
      </c>
      <c r="G19" s="21">
        <f>pop_1*above5_pop</f>
        <v>8580</v>
      </c>
      <c r="H19" s="22">
        <f t="shared" si="0"/>
        <v>85.8</v>
      </c>
      <c r="I19" s="21">
        <f>H19*$E19*buffer_stock</f>
        <v>6220.5</v>
      </c>
      <c r="K19" s="21">
        <f>pop_2*above5_pop</f>
        <v>12870</v>
      </c>
      <c r="L19" s="22">
        <f t="shared" si="1"/>
        <v>128.69999999999999</v>
      </c>
      <c r="M19" s="21">
        <f>L19*$E19*buffer_stock</f>
        <v>9330.75</v>
      </c>
      <c r="O19" s="21">
        <f>pop_3*above5_pop</f>
        <v>17160</v>
      </c>
      <c r="P19" s="22">
        <f t="shared" si="2"/>
        <v>171.6</v>
      </c>
      <c r="Q19" s="21">
        <f>P19*$E19*buffer_stock</f>
        <v>12441</v>
      </c>
      <c r="S19" s="21">
        <f>Pop_4*above5_pop</f>
        <v>21450</v>
      </c>
      <c r="T19" s="22">
        <f t="shared" si="3"/>
        <v>214.5</v>
      </c>
      <c r="U19" s="21">
        <f>T19*$E19*buffer_stock</f>
        <v>15551.25</v>
      </c>
      <c r="W19" s="129"/>
      <c r="X19" s="21">
        <f>pop_1*above5_pop</f>
        <v>8580</v>
      </c>
      <c r="Y19" s="22">
        <f>X19*$C19*(1+perc_increase)</f>
        <v>98.669999999999987</v>
      </c>
      <c r="Z19" s="21">
        <f>Y19*$E19*buffer_stock</f>
        <v>7153.5749999999998</v>
      </c>
      <c r="AB19" s="21">
        <f>pop_2*above5_pop</f>
        <v>12870</v>
      </c>
      <c r="AC19" s="22">
        <f>AB19*$C19*(1+perc_increase)</f>
        <v>148.00499999999997</v>
      </c>
      <c r="AD19" s="21">
        <f>AC19*$E19*buffer_stock</f>
        <v>10730.362499999996</v>
      </c>
      <c r="AE19" s="19"/>
      <c r="AF19" s="21">
        <f>pop_3*above5_pop</f>
        <v>17160</v>
      </c>
      <c r="AG19" s="22">
        <f>AF19*$C19*(1+perc_increase)</f>
        <v>197.33999999999997</v>
      </c>
      <c r="AH19" s="21">
        <f>AG19*$E19*buffer_stock</f>
        <v>14307.15</v>
      </c>
      <c r="AI19" s="19"/>
      <c r="AJ19" s="21">
        <f>Pop_4*above5_pop</f>
        <v>21450</v>
      </c>
      <c r="AK19" s="22">
        <f>AJ19*$C19*(1+perc_increase)</f>
        <v>246.67499999999998</v>
      </c>
      <c r="AL19" s="21">
        <f>AK19*$E19*buffer_stock</f>
        <v>17883.9375</v>
      </c>
      <c r="AM19" s="19"/>
    </row>
    <row r="20" spans="1:39" x14ac:dyDescent="0.25">
      <c r="A20" t="s">
        <v>724</v>
      </c>
      <c r="B20" s="112" t="s">
        <v>606</v>
      </c>
      <c r="C20" s="42">
        <v>1.4999999999999999E-2</v>
      </c>
      <c r="E20" s="87">
        <f>AVERAGE('16.ECM_Cold'!C53,'17.ECM_Brn'!C53)</f>
        <v>3.944</v>
      </c>
      <c r="G20" s="21">
        <f>pop_1*above5_pop</f>
        <v>8580</v>
      </c>
      <c r="H20" s="22">
        <f t="shared" si="0"/>
        <v>128.69999999999999</v>
      </c>
      <c r="I20" s="21">
        <f>H20*$E20*buffer_stock</f>
        <v>634.49099999999999</v>
      </c>
      <c r="K20" s="21">
        <f>pop_2*above5_pop</f>
        <v>12870</v>
      </c>
      <c r="L20" s="22">
        <f t="shared" si="1"/>
        <v>193.04999999999998</v>
      </c>
      <c r="M20" s="21">
        <f>L20*$E20*buffer_stock</f>
        <v>951.73649999999998</v>
      </c>
      <c r="O20" s="21">
        <f>pop_3*above5_pop</f>
        <v>17160</v>
      </c>
      <c r="P20" s="22">
        <f t="shared" si="2"/>
        <v>257.39999999999998</v>
      </c>
      <c r="Q20" s="21">
        <f>P20*$E20*buffer_stock</f>
        <v>1268.982</v>
      </c>
      <c r="S20" s="21">
        <f>Pop_4*above5_pop</f>
        <v>21450</v>
      </c>
      <c r="T20" s="22">
        <f t="shared" si="3"/>
        <v>321.75</v>
      </c>
      <c r="U20" s="21">
        <f>T20*$E20*buffer_stock</f>
        <v>1586.2275</v>
      </c>
      <c r="W20" s="129"/>
      <c r="X20" s="21">
        <f>pop_1*above5_pop</f>
        <v>8580</v>
      </c>
      <c r="Y20" s="22">
        <f>X20*$C20*(1+perc_increase)</f>
        <v>148.00499999999997</v>
      </c>
      <c r="Z20" s="21">
        <f>Y20*$E20*buffer_stock</f>
        <v>729.66464999999982</v>
      </c>
      <c r="AB20" s="21">
        <f>pop_2*above5_pop</f>
        <v>12870</v>
      </c>
      <c r="AC20" s="22">
        <f>AB20*$C20*(1+perc_increase)</f>
        <v>222.00749999999996</v>
      </c>
      <c r="AD20" s="21">
        <f>AC20*$E20*buffer_stock</f>
        <v>1094.4969749999998</v>
      </c>
      <c r="AE20" s="19"/>
      <c r="AF20" s="21">
        <f>pop_3*above5_pop</f>
        <v>17160</v>
      </c>
      <c r="AG20" s="22">
        <f>AF20*$C20*(1+perc_increase)</f>
        <v>296.00999999999993</v>
      </c>
      <c r="AH20" s="21">
        <f>AG20*$E20*buffer_stock</f>
        <v>1459.3292999999996</v>
      </c>
      <c r="AI20" s="19"/>
      <c r="AJ20" s="21">
        <f>Pop_4*above5_pop</f>
        <v>21450</v>
      </c>
      <c r="AK20" s="22">
        <f>AJ20*$C20*(1+perc_increase)</f>
        <v>370.01249999999999</v>
      </c>
      <c r="AL20" s="21">
        <f>AK20*$E20*buffer_stock</f>
        <v>1824.1616249999997</v>
      </c>
      <c r="AM20" s="19"/>
    </row>
    <row r="21" spans="1:39" x14ac:dyDescent="0.25">
      <c r="B21" s="112"/>
      <c r="C21" s="42"/>
      <c r="E21" s="87"/>
      <c r="H21" s="22"/>
      <c r="I21" s="21"/>
      <c r="K21" s="21"/>
      <c r="L21" s="22"/>
      <c r="M21" s="21"/>
      <c r="O21" s="21"/>
      <c r="P21" s="22"/>
      <c r="Q21" s="21"/>
      <c r="S21" s="21"/>
      <c r="T21" s="22"/>
      <c r="U21" s="21"/>
      <c r="W21" s="129"/>
      <c r="X21" s="21"/>
      <c r="Y21" s="22"/>
      <c r="Z21" s="21"/>
      <c r="AB21" s="21"/>
      <c r="AC21" s="22"/>
      <c r="AD21" s="21"/>
      <c r="AE21" s="19"/>
      <c r="AF21" s="21"/>
      <c r="AG21" s="22"/>
      <c r="AH21" s="21"/>
      <c r="AI21" s="19"/>
      <c r="AJ21" s="21"/>
      <c r="AK21" s="22"/>
      <c r="AL21" s="21"/>
      <c r="AM21" s="19"/>
    </row>
    <row r="22" spans="1:39" x14ac:dyDescent="0.25">
      <c r="A22" t="s">
        <v>724</v>
      </c>
      <c r="B22" s="112" t="s">
        <v>607</v>
      </c>
      <c r="C22" s="42">
        <v>3.5999999999999997E-2</v>
      </c>
      <c r="E22" s="87">
        <f>'19.ECM_GI'!C53</f>
        <v>11.89</v>
      </c>
      <c r="G22" s="21">
        <f>pop_1*above5_pop</f>
        <v>8580</v>
      </c>
      <c r="H22" s="22">
        <f t="shared" si="0"/>
        <v>308.88</v>
      </c>
      <c r="I22" s="21">
        <f>H22*$E22*buffer_stock</f>
        <v>4590.7290000000003</v>
      </c>
      <c r="K22" s="21">
        <f>pop_2*above5_pop</f>
        <v>12870</v>
      </c>
      <c r="L22" s="22">
        <f t="shared" si="1"/>
        <v>463.32</v>
      </c>
      <c r="M22" s="21">
        <f>L22*$E22*buffer_stock</f>
        <v>6886.0935000000009</v>
      </c>
      <c r="O22" s="21">
        <f>pop_3*above5_pop</f>
        <v>17160</v>
      </c>
      <c r="P22" s="22">
        <f t="shared" si="2"/>
        <v>617.76</v>
      </c>
      <c r="Q22" s="21">
        <f>P22*$E22*buffer_stock</f>
        <v>9181.4580000000005</v>
      </c>
      <c r="S22" s="21">
        <f>Pop_4*above5_pop</f>
        <v>21450</v>
      </c>
      <c r="T22" s="22">
        <f t="shared" si="3"/>
        <v>772.19999999999993</v>
      </c>
      <c r="U22" s="21">
        <f>T22*$E22*buffer_stock</f>
        <v>11476.822499999998</v>
      </c>
      <c r="W22" s="129"/>
      <c r="X22" s="21">
        <f>pop_1*above5_pop</f>
        <v>8580</v>
      </c>
      <c r="Y22" s="22">
        <f>X22*$C22*(1+perc_increase)</f>
        <v>355.21199999999999</v>
      </c>
      <c r="Z22" s="21">
        <f>Y22*$E22*buffer_stock</f>
        <v>5279.33835</v>
      </c>
      <c r="AB22" s="21">
        <f>pop_2*above5_pop</f>
        <v>12870</v>
      </c>
      <c r="AC22" s="22">
        <f>AB22*$C22*(1+perc_increase)</f>
        <v>532.81799999999998</v>
      </c>
      <c r="AD22" s="21">
        <f>AC22*$E22*buffer_stock</f>
        <v>7919.0075250000009</v>
      </c>
      <c r="AE22" s="19"/>
      <c r="AF22" s="21">
        <f>pop_3*above5_pop</f>
        <v>17160</v>
      </c>
      <c r="AG22" s="22">
        <f>AF22*$C22*(1+perc_increase)</f>
        <v>710.42399999999998</v>
      </c>
      <c r="AH22" s="21">
        <f>AG22*$E22*buffer_stock</f>
        <v>10558.6767</v>
      </c>
      <c r="AI22" s="19"/>
      <c r="AJ22" s="21">
        <f>Pop_4*above5_pop</f>
        <v>21450</v>
      </c>
      <c r="AK22" s="22">
        <f>AJ22*$C22*(1+perc_increase)</f>
        <v>888.02999999999986</v>
      </c>
      <c r="AL22" s="21">
        <f>AK22*$E22*buffer_stock</f>
        <v>13198.345874999997</v>
      </c>
      <c r="AM22" s="19"/>
    </row>
    <row r="23" spans="1:39" x14ac:dyDescent="0.25">
      <c r="B23" s="112"/>
      <c r="C23" s="42"/>
      <c r="E23" s="87"/>
      <c r="H23" s="22"/>
      <c r="I23" s="21"/>
      <c r="K23" s="21"/>
      <c r="L23" s="22"/>
      <c r="M23" s="21"/>
      <c r="O23" s="21"/>
      <c r="P23" s="22"/>
      <c r="Q23" s="21"/>
      <c r="S23" s="21"/>
      <c r="T23" s="22"/>
      <c r="U23" s="21"/>
      <c r="W23" s="129"/>
      <c r="X23" s="21"/>
      <c r="Y23" s="22"/>
      <c r="Z23" s="21"/>
      <c r="AB23" s="21"/>
      <c r="AC23" s="22"/>
      <c r="AD23" s="21"/>
      <c r="AE23" s="19"/>
      <c r="AF23" s="21"/>
      <c r="AG23" s="22"/>
      <c r="AH23" s="21"/>
      <c r="AI23" s="19"/>
      <c r="AJ23" s="21"/>
      <c r="AK23" s="22"/>
      <c r="AL23" s="21"/>
      <c r="AM23" s="19"/>
    </row>
    <row r="24" spans="1:39" x14ac:dyDescent="0.25">
      <c r="A24" t="s">
        <v>724</v>
      </c>
      <c r="B24" s="112" t="s">
        <v>285</v>
      </c>
      <c r="C24" s="42">
        <v>2.9999999999999997E-4</v>
      </c>
      <c r="E24" s="87">
        <f>'20.ECM_TB_Diag'!C53</f>
        <v>14.222</v>
      </c>
      <c r="G24" s="21">
        <f>pop_1*above5_pop</f>
        <v>8580</v>
      </c>
      <c r="H24" s="22">
        <f t="shared" si="0"/>
        <v>2.5739999999999998</v>
      </c>
      <c r="I24" s="21">
        <f>H24*$E24*buffer_stock</f>
        <v>45.759284999999998</v>
      </c>
      <c r="K24" s="21">
        <f>pop_2*above5_pop</f>
        <v>12870</v>
      </c>
      <c r="L24" s="22">
        <f t="shared" si="1"/>
        <v>3.8609999999999998</v>
      </c>
      <c r="M24" s="21">
        <f>L24*$E24*buffer_stock</f>
        <v>68.638927499999994</v>
      </c>
      <c r="O24" s="21">
        <f>pop_3*above5_pop</f>
        <v>17160</v>
      </c>
      <c r="P24" s="22">
        <f t="shared" si="2"/>
        <v>5.1479999999999997</v>
      </c>
      <c r="Q24" s="21">
        <f>P24*$E24*buffer_stock</f>
        <v>91.518569999999997</v>
      </c>
      <c r="S24" s="21">
        <f>Pop_4*above5_pop</f>
        <v>21450</v>
      </c>
      <c r="T24" s="22">
        <f t="shared" si="3"/>
        <v>6.4349999999999996</v>
      </c>
      <c r="U24" s="21">
        <f>T24*$E24*buffer_stock</f>
        <v>114.3982125</v>
      </c>
      <c r="W24" s="129"/>
      <c r="X24" s="21">
        <f>pop_1*above5_pop</f>
        <v>8580</v>
      </c>
      <c r="Y24" s="22">
        <f>X24*$C24*(1+perc_increase)</f>
        <v>2.9600999999999997</v>
      </c>
      <c r="Z24" s="21">
        <f>Y24*$E24*buffer_stock</f>
        <v>52.623177749999996</v>
      </c>
      <c r="AB24" s="21">
        <f>pop_2*above5_pop</f>
        <v>12870</v>
      </c>
      <c r="AC24" s="22">
        <f>AB24*$C24*(1+perc_increase)</f>
        <v>4.4401499999999992</v>
      </c>
      <c r="AD24" s="21">
        <f>AC24*$E24*buffer_stock</f>
        <v>78.93476662499998</v>
      </c>
      <c r="AE24" s="19"/>
      <c r="AF24" s="21">
        <f>pop_3*above5_pop</f>
        <v>17160</v>
      </c>
      <c r="AG24" s="22">
        <f>AF24*$C24*(1+perc_increase)</f>
        <v>5.9201999999999995</v>
      </c>
      <c r="AH24" s="21">
        <f>AG24*$E24*buffer_stock</f>
        <v>105.24635549999999</v>
      </c>
      <c r="AI24" s="19"/>
      <c r="AJ24" s="21">
        <f>Pop_4*above5_pop</f>
        <v>21450</v>
      </c>
      <c r="AK24" s="22">
        <f>AJ24*$C24*(1+perc_increase)</f>
        <v>7.4002499999999989</v>
      </c>
      <c r="AL24" s="21">
        <f>AK24*$E24*buffer_stock</f>
        <v>131.55794437499998</v>
      </c>
      <c r="AM24" s="19"/>
    </row>
    <row r="25" spans="1:39" x14ac:dyDescent="0.25">
      <c r="A25" t="s">
        <v>724</v>
      </c>
      <c r="B25" s="112" t="s">
        <v>608</v>
      </c>
      <c r="C25" s="42">
        <v>1E-3</v>
      </c>
      <c r="E25" s="87">
        <f>'21.ECM_TB_treat'!C53</f>
        <v>3312.7677000000003</v>
      </c>
      <c r="G25" s="21">
        <f>pop_1*above5_pop</f>
        <v>8580</v>
      </c>
      <c r="H25" s="22">
        <f t="shared" si="0"/>
        <v>8.58</v>
      </c>
      <c r="I25" s="21">
        <f>H25*$E25*buffer_stock</f>
        <v>35529.433582500002</v>
      </c>
      <c r="K25" s="21">
        <f>pop_2*above5_pop</f>
        <v>12870</v>
      </c>
      <c r="L25" s="22">
        <f t="shared" si="1"/>
        <v>12.870000000000001</v>
      </c>
      <c r="M25" s="21">
        <f>L25*$E25*buffer_stock</f>
        <v>53294.15037375001</v>
      </c>
      <c r="O25" s="21">
        <f>pop_3*above5_pop</f>
        <v>17160</v>
      </c>
      <c r="P25" s="22">
        <f t="shared" si="2"/>
        <v>17.16</v>
      </c>
      <c r="Q25" s="21">
        <f>P25*$E25*buffer_stock</f>
        <v>71058.867165000003</v>
      </c>
      <c r="S25" s="21">
        <f>Pop_4*above5_pop</f>
        <v>21450</v>
      </c>
      <c r="T25" s="22">
        <f t="shared" si="3"/>
        <v>21.45</v>
      </c>
      <c r="U25" s="21">
        <f>T25*$E25*buffer_stock</f>
        <v>88823.583956250004</v>
      </c>
      <c r="W25" s="129"/>
      <c r="X25" s="21">
        <f>pop_1*above5_pop</f>
        <v>8580</v>
      </c>
      <c r="Y25" s="22">
        <f>X25*$C25*(1+perc_increase)</f>
        <v>9.8669999999999991</v>
      </c>
      <c r="Z25" s="21">
        <f>Y25*$E25*buffer_stock</f>
        <v>40858.848619875003</v>
      </c>
      <c r="AB25" s="21">
        <f>pop_2*above5_pop</f>
        <v>12870</v>
      </c>
      <c r="AC25" s="22">
        <f>AB25*$C25*(1+perc_increase)</f>
        <v>14.8005</v>
      </c>
      <c r="AD25" s="21">
        <f>AC25*$E25*buffer_stock</f>
        <v>61288.272929812505</v>
      </c>
      <c r="AE25" s="19"/>
      <c r="AF25" s="21">
        <f>pop_3*above5_pop</f>
        <v>17160</v>
      </c>
      <c r="AG25" s="22">
        <f>AF25*$C25*(1+perc_increase)</f>
        <v>19.733999999999998</v>
      </c>
      <c r="AH25" s="21">
        <f>AG25*$E25*buffer_stock</f>
        <v>81717.697239750007</v>
      </c>
      <c r="AI25" s="19"/>
      <c r="AJ25" s="21">
        <f>Pop_4*above5_pop</f>
        <v>21450</v>
      </c>
      <c r="AK25" s="22">
        <f>AJ25*$C25*(1+perc_increase)</f>
        <v>24.667499999999997</v>
      </c>
      <c r="AL25" s="21">
        <f>AK25*$E25*buffer_stock</f>
        <v>102147.12154968749</v>
      </c>
      <c r="AM25" s="19"/>
    </row>
    <row r="26" spans="1:39" x14ac:dyDescent="0.25">
      <c r="B26" s="112"/>
      <c r="C26" s="42"/>
      <c r="E26" s="87"/>
      <c r="H26" s="22"/>
      <c r="I26" s="21"/>
      <c r="K26" s="21"/>
      <c r="L26" s="22"/>
      <c r="M26" s="21"/>
      <c r="O26" s="21"/>
      <c r="P26" s="22"/>
      <c r="Q26" s="21"/>
      <c r="S26" s="21"/>
      <c r="T26" s="22"/>
      <c r="U26" s="21"/>
      <c r="W26" s="129"/>
      <c r="X26" s="21"/>
      <c r="Y26" s="22"/>
      <c r="Z26" s="21"/>
      <c r="AB26" s="21"/>
      <c r="AC26" s="22"/>
      <c r="AD26" s="21"/>
      <c r="AE26" s="19"/>
      <c r="AF26" s="21"/>
      <c r="AG26" s="22"/>
      <c r="AH26" s="21"/>
      <c r="AI26" s="19"/>
      <c r="AJ26" s="21"/>
      <c r="AK26" s="22"/>
      <c r="AL26" s="21"/>
      <c r="AM26" s="19"/>
    </row>
    <row r="27" spans="1:39" x14ac:dyDescent="0.25">
      <c r="A27" t="s">
        <v>724</v>
      </c>
      <c r="B27" s="112" t="s">
        <v>609</v>
      </c>
      <c r="C27" s="42">
        <v>1.5800000000000002E-2</v>
      </c>
      <c r="E27" s="87">
        <f>'22.ECM_Malaria'!C52</f>
        <v>0</v>
      </c>
      <c r="G27" s="21">
        <f>pop_1*above5_pop</f>
        <v>8580</v>
      </c>
      <c r="H27" s="22">
        <f t="shared" si="0"/>
        <v>135.56400000000002</v>
      </c>
      <c r="I27" s="21">
        <f>H27*$E27*buffer_stock</f>
        <v>0</v>
      </c>
      <c r="K27" s="21">
        <f>pop_2*above5_pop</f>
        <v>12870</v>
      </c>
      <c r="L27" s="22">
        <f t="shared" si="1"/>
        <v>203.34600000000003</v>
      </c>
      <c r="M27" s="21">
        <f>L27*$E27*buffer_stock</f>
        <v>0</v>
      </c>
      <c r="O27" s="21">
        <f>pop_3*above5_pop</f>
        <v>17160</v>
      </c>
      <c r="P27" s="22">
        <f t="shared" si="2"/>
        <v>271.12800000000004</v>
      </c>
      <c r="Q27" s="21">
        <f>P27*$E27*buffer_stock</f>
        <v>0</v>
      </c>
      <c r="S27" s="21">
        <f>Pop_4*above5_pop</f>
        <v>21450</v>
      </c>
      <c r="T27" s="22">
        <f t="shared" si="3"/>
        <v>338.91</v>
      </c>
      <c r="U27" s="21">
        <f>T27*$E27*buffer_stock</f>
        <v>0</v>
      </c>
      <c r="W27" s="129"/>
      <c r="X27" s="21">
        <f>pop_1*above5_pop</f>
        <v>8580</v>
      </c>
      <c r="Y27" s="22">
        <f>X27*$C27*(1+perc_increase)</f>
        <v>155.89860000000002</v>
      </c>
      <c r="Z27" s="21">
        <f>Y27*$E27*buffer_stock</f>
        <v>0</v>
      </c>
      <c r="AB27" s="21">
        <f>pop_2*above5_pop</f>
        <v>12870</v>
      </c>
      <c r="AC27" s="22">
        <f>AB27*$C27*(1+perc_increase)</f>
        <v>233.84790000000001</v>
      </c>
      <c r="AD27" s="21">
        <f>AC27*$E27*buffer_stock</f>
        <v>0</v>
      </c>
      <c r="AE27" s="19"/>
      <c r="AF27" s="21">
        <f>pop_3*above5_pop</f>
        <v>17160</v>
      </c>
      <c r="AG27" s="22">
        <f>AF27*$C27*(1+perc_increase)</f>
        <v>311.79720000000003</v>
      </c>
      <c r="AH27" s="21">
        <f>AG27*$E27*buffer_stock</f>
        <v>0</v>
      </c>
      <c r="AI27" s="19"/>
      <c r="AJ27" s="21">
        <f>Pop_4*above5_pop</f>
        <v>21450</v>
      </c>
      <c r="AK27" s="22">
        <f>AJ27*$C27*(1+perc_increase)</f>
        <v>389.74650000000003</v>
      </c>
      <c r="AL27" s="21">
        <f>AK27*$E27*buffer_stock</f>
        <v>0</v>
      </c>
      <c r="AM27" s="19"/>
    </row>
    <row r="28" spans="1:39" x14ac:dyDescent="0.25">
      <c r="A28" t="s">
        <v>724</v>
      </c>
      <c r="B28" s="112" t="s">
        <v>610</v>
      </c>
      <c r="C28" s="42">
        <v>0.06</v>
      </c>
      <c r="E28" s="87">
        <f>'22.ECM_Malaria'!C53</f>
        <v>225.95999999999998</v>
      </c>
      <c r="G28" s="21">
        <f>pop_1*above5_pop</f>
        <v>8580</v>
      </c>
      <c r="H28" s="22">
        <f t="shared" si="0"/>
        <v>514.79999999999995</v>
      </c>
      <c r="I28" s="21">
        <f>H28*$E28*buffer_stock</f>
        <v>145405.25999999998</v>
      </c>
      <c r="K28" s="21">
        <f>pop_2*above5_pop</f>
        <v>12870</v>
      </c>
      <c r="L28" s="22">
        <f t="shared" si="1"/>
        <v>772.19999999999993</v>
      </c>
      <c r="M28" s="21">
        <f>L28*$E28*buffer_stock</f>
        <v>218107.88999999996</v>
      </c>
      <c r="O28" s="21">
        <f>pop_3*above5_pop</f>
        <v>17160</v>
      </c>
      <c r="P28" s="22">
        <f t="shared" si="2"/>
        <v>1029.5999999999999</v>
      </c>
      <c r="Q28" s="21">
        <f>P28*$E28*buffer_stock</f>
        <v>290810.51999999996</v>
      </c>
      <c r="S28" s="21">
        <f>Pop_4*above5_pop</f>
        <v>21450</v>
      </c>
      <c r="T28" s="22">
        <f t="shared" si="3"/>
        <v>1287</v>
      </c>
      <c r="U28" s="21">
        <f>T28*$E28*buffer_stock</f>
        <v>363513.14999999997</v>
      </c>
      <c r="W28" s="129"/>
      <c r="X28" s="21">
        <f>pop_1*above5_pop</f>
        <v>8580</v>
      </c>
      <c r="Y28" s="22">
        <f>X28*$C28*(1+perc_increase)</f>
        <v>592.01999999999987</v>
      </c>
      <c r="Z28" s="21">
        <f>Y28*$E28*buffer_stock</f>
        <v>167216.04899999994</v>
      </c>
      <c r="AB28" s="21">
        <f>pop_2*above5_pop</f>
        <v>12870</v>
      </c>
      <c r="AC28" s="22">
        <f>AB28*$C28*(1+perc_increase)</f>
        <v>888.02999999999986</v>
      </c>
      <c r="AD28" s="21">
        <f>AC28*$E28*buffer_stock</f>
        <v>250824.07349999994</v>
      </c>
      <c r="AE28" s="19"/>
      <c r="AF28" s="21">
        <f>pop_3*above5_pop</f>
        <v>17160</v>
      </c>
      <c r="AG28" s="22">
        <f>AF28*$C28*(1+perc_increase)</f>
        <v>1184.0399999999997</v>
      </c>
      <c r="AH28" s="21">
        <f>AG28*$E28*buffer_stock</f>
        <v>334432.09799999988</v>
      </c>
      <c r="AI28" s="19"/>
      <c r="AJ28" s="21">
        <f>Pop_4*above5_pop</f>
        <v>21450</v>
      </c>
      <c r="AK28" s="22">
        <f>AJ28*$C28*(1+perc_increase)</f>
        <v>1480.05</v>
      </c>
      <c r="AL28" s="21">
        <f>AK28*$E28*buffer_stock</f>
        <v>418040.12249999994</v>
      </c>
      <c r="AM28" s="19"/>
    </row>
    <row r="29" spans="1:39" x14ac:dyDescent="0.25">
      <c r="B29" s="112"/>
      <c r="E29" s="87"/>
      <c r="H29" s="22"/>
      <c r="I29" s="21"/>
      <c r="K29" s="21"/>
      <c r="L29" s="22"/>
      <c r="M29" s="21"/>
      <c r="O29" s="21"/>
      <c r="P29" s="22"/>
      <c r="Q29" s="21"/>
      <c r="S29" s="21"/>
      <c r="T29" s="22"/>
      <c r="U29" s="21"/>
      <c r="W29" s="129"/>
      <c r="X29" s="21"/>
      <c r="Y29" s="22"/>
      <c r="Z29" s="21"/>
      <c r="AB29" s="21"/>
      <c r="AC29" s="22"/>
      <c r="AD29" s="21"/>
      <c r="AE29" s="19"/>
      <c r="AF29" s="21"/>
      <c r="AG29" s="22"/>
      <c r="AH29" s="21"/>
      <c r="AI29" s="19"/>
      <c r="AJ29" s="21"/>
      <c r="AK29" s="22"/>
      <c r="AL29" s="21"/>
      <c r="AM29" s="19"/>
    </row>
    <row r="30" spans="1:39" x14ac:dyDescent="0.25">
      <c r="A30" t="s">
        <v>724</v>
      </c>
      <c r="B30" s="112" t="s">
        <v>289</v>
      </c>
      <c r="C30" s="42">
        <v>0</v>
      </c>
      <c r="E30" s="87">
        <f>'23.ECM_Typhoid'!C53</f>
        <v>35.388999999999996</v>
      </c>
      <c r="G30" s="21">
        <f>pop_1*above5_pop</f>
        <v>8580</v>
      </c>
      <c r="H30" s="22">
        <f t="shared" si="0"/>
        <v>0</v>
      </c>
      <c r="I30" s="21">
        <f>H30*$E30*buffer_stock</f>
        <v>0</v>
      </c>
      <c r="K30" s="21">
        <f>pop_2*above5_pop</f>
        <v>12870</v>
      </c>
      <c r="L30" s="22">
        <f t="shared" si="1"/>
        <v>0</v>
      </c>
      <c r="M30" s="21">
        <f>L30*$E30*buffer_stock</f>
        <v>0</v>
      </c>
      <c r="O30" s="21">
        <f>pop_3*above5_pop</f>
        <v>17160</v>
      </c>
      <c r="P30" s="22">
        <f t="shared" si="2"/>
        <v>0</v>
      </c>
      <c r="Q30" s="21">
        <f>P30*$E30*buffer_stock</f>
        <v>0</v>
      </c>
      <c r="S30" s="21">
        <f>Pop_4*above5_pop</f>
        <v>21450</v>
      </c>
      <c r="T30" s="22">
        <f t="shared" si="3"/>
        <v>0</v>
      </c>
      <c r="U30" s="21">
        <f>T30*$E30*buffer_stock</f>
        <v>0</v>
      </c>
      <c r="W30" s="129"/>
      <c r="X30" s="21">
        <f>pop_1*above5_pop</f>
        <v>8580</v>
      </c>
      <c r="Y30" s="22">
        <f>X30*$C30*(1+perc_increase)</f>
        <v>0</v>
      </c>
      <c r="Z30" s="21">
        <f>Y30*$E30*buffer_stock</f>
        <v>0</v>
      </c>
      <c r="AB30" s="21">
        <f>pop_2*above5_pop</f>
        <v>12870</v>
      </c>
      <c r="AC30" s="22">
        <f>AB30*$C30*(1+perc_increase)</f>
        <v>0</v>
      </c>
      <c r="AD30" s="21">
        <f>AC30*$E30*buffer_stock</f>
        <v>0</v>
      </c>
      <c r="AE30" s="19"/>
      <c r="AF30" s="21">
        <f>pop_3*above5_pop</f>
        <v>17160</v>
      </c>
      <c r="AG30" s="22">
        <f>AF30*$C30*(1+perc_increase)</f>
        <v>0</v>
      </c>
      <c r="AH30" s="21">
        <f>AG30*$E30*buffer_stock</f>
        <v>0</v>
      </c>
      <c r="AI30" s="19"/>
      <c r="AJ30" s="21">
        <f>Pop_4*above5_pop</f>
        <v>21450</v>
      </c>
      <c r="AK30" s="22">
        <f>AJ30*$C30*(1+perc_increase)</f>
        <v>0</v>
      </c>
      <c r="AL30" s="21">
        <f>AK30*$E30*buffer_stock</f>
        <v>0</v>
      </c>
      <c r="AM30" s="19"/>
    </row>
    <row r="31" spans="1:39" x14ac:dyDescent="0.25">
      <c r="B31" s="112"/>
      <c r="E31" s="87"/>
      <c r="H31" s="22"/>
      <c r="I31" s="21"/>
      <c r="K31" s="21"/>
      <c r="L31" s="22"/>
      <c r="M31" s="21"/>
      <c r="O31" s="21"/>
      <c r="P31" s="22"/>
      <c r="Q31" s="21"/>
      <c r="S31" s="21"/>
      <c r="T31" s="22"/>
      <c r="U31" s="21"/>
      <c r="W31" s="129"/>
      <c r="X31" s="21"/>
      <c r="Y31" s="22"/>
      <c r="Z31" s="21"/>
      <c r="AB31" s="21"/>
      <c r="AC31" s="22"/>
      <c r="AD31" s="21"/>
      <c r="AE31" s="19"/>
      <c r="AF31" s="21"/>
      <c r="AG31" s="22"/>
      <c r="AH31" s="21"/>
      <c r="AI31" s="19"/>
      <c r="AJ31" s="21"/>
      <c r="AK31" s="22"/>
      <c r="AL31" s="21"/>
      <c r="AM31" s="19"/>
    </row>
    <row r="32" spans="1:39" x14ac:dyDescent="0.25">
      <c r="A32" t="s">
        <v>724</v>
      </c>
      <c r="B32" s="112" t="s">
        <v>31</v>
      </c>
      <c r="C32" s="42">
        <v>8.9999999999999998E-4</v>
      </c>
      <c r="E32" s="87">
        <f>'24.ECM_STIs'!C53</f>
        <v>96.363760000000013</v>
      </c>
      <c r="G32" s="21">
        <f>pop_1*above5_pop</f>
        <v>8580</v>
      </c>
      <c r="H32" s="22">
        <f t="shared" si="0"/>
        <v>7.7219999999999995</v>
      </c>
      <c r="I32" s="21">
        <f>H32*$E32*buffer_stock</f>
        <v>930.15119340000012</v>
      </c>
      <c r="K32" s="21">
        <f>pop_2*above5_pop</f>
        <v>12870</v>
      </c>
      <c r="L32" s="22">
        <f t="shared" si="1"/>
        <v>11.583</v>
      </c>
      <c r="M32" s="21">
        <f>L32*$E32*buffer_stock</f>
        <v>1395.2267901000002</v>
      </c>
      <c r="O32" s="21">
        <f>pop_3*above5_pop</f>
        <v>17160</v>
      </c>
      <c r="P32" s="22">
        <f t="shared" si="2"/>
        <v>15.443999999999999</v>
      </c>
      <c r="Q32" s="21">
        <f>P32*$E32*buffer_stock</f>
        <v>1860.3023868000002</v>
      </c>
      <c r="S32" s="21">
        <f>Pop_4*above5_pop</f>
        <v>21450</v>
      </c>
      <c r="T32" s="22">
        <f t="shared" si="3"/>
        <v>19.305</v>
      </c>
      <c r="U32" s="21">
        <f>T32*$E32*buffer_stock</f>
        <v>2325.3779835000005</v>
      </c>
      <c r="W32" s="129"/>
      <c r="X32" s="21">
        <f>pop_1*above5_pop</f>
        <v>8580</v>
      </c>
      <c r="Y32" s="22">
        <f>X32*$C32*(1+perc_increase)</f>
        <v>8.8802999999999983</v>
      </c>
      <c r="Z32" s="21">
        <f>Y32*$E32*buffer_stock</f>
        <v>1069.6738724100001</v>
      </c>
      <c r="AB32" s="21">
        <f>pop_2*above5_pop</f>
        <v>12870</v>
      </c>
      <c r="AC32" s="22">
        <f>AB32*$C32*(1+perc_increase)</f>
        <v>13.320449999999999</v>
      </c>
      <c r="AD32" s="21">
        <f>AC32*$E32*buffer_stock</f>
        <v>1604.5108086150001</v>
      </c>
      <c r="AE32" s="19"/>
      <c r="AF32" s="21">
        <f>pop_3*above5_pop</f>
        <v>17160</v>
      </c>
      <c r="AG32" s="22">
        <f>AF32*$C32*(1+perc_increase)</f>
        <v>17.760599999999997</v>
      </c>
      <c r="AH32" s="21">
        <f>AG32*$E32*buffer_stock</f>
        <v>2139.3477448200001</v>
      </c>
      <c r="AI32" s="19"/>
      <c r="AJ32" s="21">
        <f>Pop_4*above5_pop</f>
        <v>21450</v>
      </c>
      <c r="AK32" s="22">
        <f>AJ32*$C32*(1+perc_increase)</f>
        <v>22.200749999999999</v>
      </c>
      <c r="AL32" s="21">
        <f>AK32*$E32*buffer_stock</f>
        <v>2674.1846810249999</v>
      </c>
      <c r="AM32" s="19"/>
    </row>
    <row r="33" spans="1:39" x14ac:dyDescent="0.25">
      <c r="B33" s="112"/>
      <c r="E33" s="87"/>
      <c r="H33" s="22"/>
      <c r="I33" s="21"/>
      <c r="K33" s="21"/>
      <c r="L33" s="22"/>
      <c r="M33" s="21"/>
      <c r="O33" s="21"/>
      <c r="P33" s="22"/>
      <c r="Q33" s="21"/>
      <c r="S33" s="21"/>
      <c r="T33" s="22"/>
      <c r="U33" s="21"/>
      <c r="W33" s="129"/>
      <c r="X33" s="21"/>
      <c r="Y33" s="22"/>
      <c r="Z33" s="21"/>
      <c r="AB33" s="21"/>
      <c r="AC33" s="22"/>
      <c r="AD33" s="21"/>
      <c r="AE33" s="19"/>
      <c r="AF33" s="21"/>
      <c r="AG33" s="22"/>
      <c r="AH33" s="21"/>
      <c r="AI33" s="19"/>
      <c r="AJ33" s="21"/>
      <c r="AK33" s="22"/>
      <c r="AL33" s="21"/>
      <c r="AM33" s="19"/>
    </row>
    <row r="34" spans="1:39" x14ac:dyDescent="0.25">
      <c r="A34" t="s">
        <v>724</v>
      </c>
      <c r="B34" s="112" t="s">
        <v>716</v>
      </c>
      <c r="C34" s="42">
        <v>0</v>
      </c>
      <c r="E34" s="87">
        <f>'25.ECM_Trachoma'!C53</f>
        <v>283.08640000000003</v>
      </c>
      <c r="G34" s="21">
        <f>pop_1*above5_pop</f>
        <v>8580</v>
      </c>
      <c r="H34" s="22">
        <f t="shared" si="0"/>
        <v>0</v>
      </c>
      <c r="I34" s="21">
        <f>H34*$E34*buffer_stock</f>
        <v>0</v>
      </c>
      <c r="K34" s="21">
        <f>pop_2*above5_pop</f>
        <v>12870</v>
      </c>
      <c r="L34" s="22">
        <f t="shared" si="1"/>
        <v>0</v>
      </c>
      <c r="M34" s="21">
        <f>L34*$E34*buffer_stock</f>
        <v>0</v>
      </c>
      <c r="O34" s="21">
        <f>pop_3*above5_pop</f>
        <v>17160</v>
      </c>
      <c r="P34" s="22">
        <f t="shared" si="2"/>
        <v>0</v>
      </c>
      <c r="Q34" s="21">
        <f>P34*$E34*buffer_stock</f>
        <v>0</v>
      </c>
      <c r="S34" s="21">
        <f>Pop_4*above5_pop</f>
        <v>21450</v>
      </c>
      <c r="T34" s="22">
        <f t="shared" si="3"/>
        <v>0</v>
      </c>
      <c r="U34" s="21">
        <f>T34*$E34*buffer_stock</f>
        <v>0</v>
      </c>
      <c r="W34" s="129"/>
      <c r="X34" s="21">
        <f>pop_1*above5_pop</f>
        <v>8580</v>
      </c>
      <c r="Y34" s="22">
        <f>X34*$C34*(1+perc_increase)</f>
        <v>0</v>
      </c>
      <c r="Z34" s="21">
        <f>Y34*$E34*buffer_stock</f>
        <v>0</v>
      </c>
      <c r="AB34" s="21">
        <f>pop_2*above5_pop</f>
        <v>12870</v>
      </c>
      <c r="AC34" s="22">
        <f>AB34*$C34*(1+perc_increase)</f>
        <v>0</v>
      </c>
      <c r="AD34" s="21">
        <f>AC34*$E34*buffer_stock</f>
        <v>0</v>
      </c>
      <c r="AE34" s="19"/>
      <c r="AF34" s="21">
        <f>pop_3*above5_pop</f>
        <v>17160</v>
      </c>
      <c r="AG34" s="22">
        <f>AF34*$C34*(1+perc_increase)</f>
        <v>0</v>
      </c>
      <c r="AH34" s="21">
        <f>AG34*$E34*buffer_stock</f>
        <v>0</v>
      </c>
      <c r="AI34" s="19"/>
      <c r="AJ34" s="21">
        <f>Pop_4*above5_pop</f>
        <v>21450</v>
      </c>
      <c r="AK34" s="22">
        <f>AJ34*$C34*(1+perc_increase)</f>
        <v>0</v>
      </c>
      <c r="AL34" s="21">
        <f>AK34*$E34*buffer_stock</f>
        <v>0</v>
      </c>
      <c r="AM34" s="19"/>
    </row>
    <row r="35" spans="1:39" x14ac:dyDescent="0.25">
      <c r="B35" s="112"/>
      <c r="E35" s="87"/>
      <c r="H35" s="22"/>
      <c r="I35" s="21"/>
      <c r="K35" s="21"/>
      <c r="L35" s="22"/>
      <c r="M35" s="21"/>
      <c r="O35" s="21"/>
      <c r="P35" s="22"/>
      <c r="Q35" s="21"/>
      <c r="S35" s="21"/>
      <c r="T35" s="22"/>
      <c r="U35" s="21"/>
      <c r="W35" s="129"/>
      <c r="X35" s="21"/>
      <c r="Y35" s="22"/>
      <c r="Z35" s="21"/>
      <c r="AB35" s="21"/>
      <c r="AC35" s="22"/>
      <c r="AD35" s="21"/>
      <c r="AE35" s="19"/>
      <c r="AF35" s="21"/>
      <c r="AG35" s="22"/>
      <c r="AH35" s="21"/>
      <c r="AI35" s="19"/>
      <c r="AJ35" s="21"/>
      <c r="AK35" s="22"/>
      <c r="AL35" s="21"/>
      <c r="AM35" s="19"/>
    </row>
    <row r="36" spans="1:39" x14ac:dyDescent="0.25">
      <c r="A36" t="s">
        <v>724</v>
      </c>
      <c r="B36" s="112" t="s">
        <v>611</v>
      </c>
      <c r="C36" s="42">
        <v>0.01</v>
      </c>
      <c r="E36" s="87">
        <f>'26.ECM_UTI'!C53</f>
        <v>69.298000000000002</v>
      </c>
      <c r="G36" s="21">
        <f>pop_1*above5_pop</f>
        <v>8580</v>
      </c>
      <c r="H36" s="22">
        <f t="shared" si="0"/>
        <v>85.8</v>
      </c>
      <c r="I36" s="21">
        <f>H36*$E36*buffer_stock</f>
        <v>7432.2105000000001</v>
      </c>
      <c r="K36" s="21">
        <f>pop_2*above5_pop</f>
        <v>12870</v>
      </c>
      <c r="L36" s="22">
        <f t="shared" si="1"/>
        <v>128.69999999999999</v>
      </c>
      <c r="M36" s="21">
        <f>L36*$E36*buffer_stock</f>
        <v>11148.31575</v>
      </c>
      <c r="O36" s="21">
        <f>pop_3*above5_pop</f>
        <v>17160</v>
      </c>
      <c r="P36" s="22">
        <f t="shared" si="2"/>
        <v>171.6</v>
      </c>
      <c r="Q36" s="21">
        <f>P36*$E36*buffer_stock</f>
        <v>14864.421</v>
      </c>
      <c r="S36" s="21">
        <f>Pop_4*above5_pop</f>
        <v>21450</v>
      </c>
      <c r="T36" s="22">
        <f t="shared" si="3"/>
        <v>214.5</v>
      </c>
      <c r="U36" s="21">
        <f>T36*$E36*buffer_stock</f>
        <v>18580.526249999999</v>
      </c>
      <c r="W36" s="129"/>
      <c r="X36" s="21">
        <f>pop_1*above5_pop</f>
        <v>8580</v>
      </c>
      <c r="Y36" s="22">
        <f>X36*$C36*(1+perc_increase)</f>
        <v>98.669999999999987</v>
      </c>
      <c r="Z36" s="21">
        <f>Y36*$E36*buffer_stock</f>
        <v>8547.0420749999994</v>
      </c>
      <c r="AB36" s="21">
        <f>pop_2*above5_pop</f>
        <v>12870</v>
      </c>
      <c r="AC36" s="22">
        <f>AB36*$C36*(1+perc_increase)</f>
        <v>148.00499999999997</v>
      </c>
      <c r="AD36" s="21">
        <f>AC36*$E36*buffer_stock</f>
        <v>12820.563112499996</v>
      </c>
      <c r="AE36" s="19"/>
      <c r="AF36" s="21">
        <f>pop_3*above5_pop</f>
        <v>17160</v>
      </c>
      <c r="AG36" s="22">
        <f>AF36*$C36*(1+perc_increase)</f>
        <v>197.33999999999997</v>
      </c>
      <c r="AH36" s="21">
        <f>AG36*$E36*buffer_stock</f>
        <v>17094.084149999999</v>
      </c>
      <c r="AI36" s="19"/>
      <c r="AJ36" s="21">
        <f>Pop_4*above5_pop</f>
        <v>21450</v>
      </c>
      <c r="AK36" s="22">
        <f>AJ36*$C36*(1+perc_increase)</f>
        <v>246.67499999999998</v>
      </c>
      <c r="AL36" s="21">
        <f>AK36*$E36*buffer_stock</f>
        <v>21367.605187499998</v>
      </c>
      <c r="AM36" s="19"/>
    </row>
    <row r="37" spans="1:39" x14ac:dyDescent="0.25">
      <c r="B37" s="112"/>
      <c r="E37" s="87"/>
      <c r="H37" s="22"/>
      <c r="I37" s="21"/>
      <c r="K37" s="21"/>
      <c r="L37" s="22"/>
      <c r="M37" s="21"/>
      <c r="O37" s="21"/>
      <c r="P37" s="22"/>
      <c r="Q37" s="21"/>
      <c r="S37" s="21"/>
      <c r="T37" s="22"/>
      <c r="U37" s="21"/>
      <c r="W37" s="129"/>
      <c r="X37" s="21"/>
      <c r="Y37" s="22"/>
      <c r="Z37" s="21"/>
      <c r="AB37" s="21"/>
      <c r="AC37" s="22"/>
      <c r="AD37" s="21"/>
      <c r="AE37" s="19"/>
      <c r="AF37" s="21"/>
      <c r="AG37" s="22"/>
      <c r="AH37" s="21"/>
      <c r="AI37" s="19"/>
      <c r="AJ37" s="21"/>
      <c r="AK37" s="22"/>
      <c r="AL37" s="21"/>
      <c r="AM37" s="19"/>
    </row>
    <row r="38" spans="1:39" x14ac:dyDescent="0.25">
      <c r="A38" t="s">
        <v>724</v>
      </c>
      <c r="B38" s="112" t="s">
        <v>612</v>
      </c>
      <c r="C38" s="42">
        <v>5.0000000000000001E-3</v>
      </c>
      <c r="E38" s="87">
        <f>Drugs_list!I106*5</f>
        <v>1.9836</v>
      </c>
      <c r="G38" s="21">
        <f>pop_1*above5_pop</f>
        <v>8580</v>
      </c>
      <c r="H38" s="22">
        <f t="shared" si="0"/>
        <v>42.9</v>
      </c>
      <c r="I38" s="21">
        <f>H38*$E38*buffer_stock</f>
        <v>106.37055000000001</v>
      </c>
      <c r="K38" s="21">
        <f>pop_2*above5_pop</f>
        <v>12870</v>
      </c>
      <c r="L38" s="22">
        <f t="shared" si="1"/>
        <v>64.349999999999994</v>
      </c>
      <c r="M38" s="21">
        <f>L38*$E38*buffer_stock</f>
        <v>159.55582499999997</v>
      </c>
      <c r="O38" s="21">
        <f>pop_3*above5_pop</f>
        <v>17160</v>
      </c>
      <c r="P38" s="22">
        <f t="shared" si="2"/>
        <v>85.8</v>
      </c>
      <c r="Q38" s="21">
        <f>P38*$E38*buffer_stock</f>
        <v>212.74110000000002</v>
      </c>
      <c r="S38" s="21">
        <f>Pop_4*above5_pop</f>
        <v>21450</v>
      </c>
      <c r="T38" s="22">
        <f t="shared" si="3"/>
        <v>107.25</v>
      </c>
      <c r="U38" s="21">
        <f>T38*$E38*buffer_stock</f>
        <v>265.92637500000001</v>
      </c>
      <c r="W38" s="129"/>
      <c r="X38" s="21">
        <f>pop_1*above5_pop</f>
        <v>8580</v>
      </c>
      <c r="Y38" s="22">
        <f>X38*$C38*(1+perc_increase)</f>
        <v>49.334999999999994</v>
      </c>
      <c r="Z38" s="21">
        <f>Y38*$E38*buffer_stock</f>
        <v>122.32613249999999</v>
      </c>
      <c r="AB38" s="21">
        <f>pop_2*above5_pop</f>
        <v>12870</v>
      </c>
      <c r="AC38" s="22">
        <f>AB38*$C38*(1+perc_increase)</f>
        <v>74.002499999999984</v>
      </c>
      <c r="AD38" s="21">
        <f>AC38*$E38*buffer_stock</f>
        <v>183.48919874999996</v>
      </c>
      <c r="AE38" s="19"/>
      <c r="AF38" s="21">
        <f>pop_3*above5_pop</f>
        <v>17160</v>
      </c>
      <c r="AG38" s="22">
        <f>AF38*$C38*(1+perc_increase)</f>
        <v>98.669999999999987</v>
      </c>
      <c r="AH38" s="21">
        <f>AG38*$E38*buffer_stock</f>
        <v>244.65226499999997</v>
      </c>
      <c r="AI38" s="19"/>
      <c r="AJ38" s="21">
        <f>Pop_4*above5_pop</f>
        <v>21450</v>
      </c>
      <c r="AK38" s="22">
        <f>AJ38*$C38*(1+perc_increase)</f>
        <v>123.33749999999999</v>
      </c>
      <c r="AL38" s="21">
        <f>AK38*$E38*buffer_stock</f>
        <v>305.81533124999999</v>
      </c>
      <c r="AM38" s="19"/>
    </row>
    <row r="39" spans="1:39" x14ac:dyDescent="0.25">
      <c r="B39" s="112"/>
      <c r="E39" s="87"/>
      <c r="H39" s="22"/>
      <c r="I39" s="21"/>
      <c r="K39" s="21"/>
      <c r="L39" s="22"/>
      <c r="M39" s="21"/>
      <c r="O39" s="21"/>
      <c r="P39" s="22"/>
      <c r="Q39" s="21"/>
      <c r="S39" s="21"/>
      <c r="T39" s="22"/>
      <c r="U39" s="21"/>
      <c r="W39" s="129"/>
      <c r="X39" s="21"/>
      <c r="Y39" s="22"/>
      <c r="Z39" s="21"/>
      <c r="AB39" s="21"/>
      <c r="AC39" s="22"/>
      <c r="AD39" s="21"/>
      <c r="AE39" s="19"/>
      <c r="AF39" s="21"/>
      <c r="AG39" s="22"/>
      <c r="AH39" s="21"/>
      <c r="AI39" s="19"/>
      <c r="AJ39" s="21"/>
      <c r="AK39" s="22"/>
      <c r="AL39" s="21"/>
      <c r="AM39" s="19"/>
    </row>
    <row r="40" spans="1:39" x14ac:dyDescent="0.25">
      <c r="A40" t="s">
        <v>724</v>
      </c>
      <c r="B40" s="112" t="s">
        <v>268</v>
      </c>
      <c r="C40" s="42">
        <v>0.03</v>
      </c>
      <c r="E40" s="87">
        <v>15</v>
      </c>
      <c r="G40" s="21">
        <f>pop_1*above5_pop</f>
        <v>8580</v>
      </c>
      <c r="H40" s="22">
        <f t="shared" si="0"/>
        <v>257.39999999999998</v>
      </c>
      <c r="I40" s="21">
        <f>H40*$E40*buffer_stock</f>
        <v>4826.2499999999991</v>
      </c>
      <c r="K40" s="21">
        <f>pop_2*above5_pop</f>
        <v>12870</v>
      </c>
      <c r="L40" s="22">
        <f t="shared" si="1"/>
        <v>386.09999999999997</v>
      </c>
      <c r="M40" s="21">
        <f>L40*$E40*buffer_stock</f>
        <v>7239.3749999999991</v>
      </c>
      <c r="O40" s="21">
        <f>pop_3*above5_pop</f>
        <v>17160</v>
      </c>
      <c r="P40" s="22">
        <f t="shared" si="2"/>
        <v>514.79999999999995</v>
      </c>
      <c r="Q40" s="21">
        <f>P40*$E40*buffer_stock</f>
        <v>9652.4999999999982</v>
      </c>
      <c r="S40" s="21">
        <f>Pop_4*above5_pop</f>
        <v>21450</v>
      </c>
      <c r="T40" s="22">
        <f t="shared" si="3"/>
        <v>643.5</v>
      </c>
      <c r="U40" s="21">
        <f>T40*$E40*buffer_stock</f>
        <v>12065.625</v>
      </c>
      <c r="X40" s="21">
        <f>pop_1*above5_pop</f>
        <v>8580</v>
      </c>
      <c r="Y40" s="22">
        <f>X40*$C40*(1+perc_increase)</f>
        <v>296.00999999999993</v>
      </c>
      <c r="Z40" s="21">
        <f>Y40*$E40*buffer_stock</f>
        <v>5550.1874999999982</v>
      </c>
      <c r="AB40" s="21">
        <f>pop_2*above5_pop</f>
        <v>12870</v>
      </c>
      <c r="AC40" s="22">
        <f>AB40*$C40*(1+perc_increase)</f>
        <v>444.01499999999993</v>
      </c>
      <c r="AD40" s="21">
        <f>AC40*$E40*buffer_stock</f>
        <v>8325.2812499999982</v>
      </c>
      <c r="AE40" s="19"/>
      <c r="AF40" s="21">
        <f>pop_3*above5_pop</f>
        <v>17160</v>
      </c>
      <c r="AG40" s="22">
        <f>AF40*$C40*(1+perc_increase)</f>
        <v>592.01999999999987</v>
      </c>
      <c r="AH40" s="21">
        <f>AG40*$E40*buffer_stock</f>
        <v>11100.374999999996</v>
      </c>
      <c r="AI40" s="19"/>
      <c r="AJ40" s="21">
        <f>Pop_4*above5_pop</f>
        <v>21450</v>
      </c>
      <c r="AK40" s="22">
        <f>AJ40*$C40*(1+perc_increase)</f>
        <v>740.02499999999998</v>
      </c>
      <c r="AL40" s="21">
        <f>AK40*$E40*buffer_stock</f>
        <v>13875.46875</v>
      </c>
      <c r="AM40" s="19"/>
    </row>
    <row r="41" spans="1:39" x14ac:dyDescent="0.25">
      <c r="B41" s="112"/>
      <c r="E41" s="87"/>
      <c r="H41" s="22"/>
      <c r="I41" s="21"/>
      <c r="K41" s="21"/>
      <c r="L41" s="22"/>
      <c r="M41" s="21"/>
      <c r="O41" s="21"/>
      <c r="P41" s="22"/>
      <c r="Q41" s="21"/>
      <c r="S41" s="21"/>
      <c r="T41" s="22"/>
      <c r="U41" s="21"/>
      <c r="X41" s="21"/>
      <c r="Y41" s="22"/>
      <c r="Z41" s="21"/>
      <c r="AB41" s="21"/>
      <c r="AC41" s="22"/>
      <c r="AD41" s="21"/>
      <c r="AE41" s="19"/>
      <c r="AF41" s="21"/>
      <c r="AG41" s="22"/>
      <c r="AH41" s="21"/>
      <c r="AI41" s="19"/>
      <c r="AJ41" s="21"/>
      <c r="AK41" s="22"/>
      <c r="AL41" s="21"/>
      <c r="AM41" s="19"/>
    </row>
    <row r="42" spans="1:39" x14ac:dyDescent="0.25">
      <c r="A42" t="s">
        <v>724</v>
      </c>
      <c r="B42" s="112" t="s">
        <v>613</v>
      </c>
      <c r="C42" s="42">
        <v>8.9999999999999993E-3</v>
      </c>
      <c r="E42" s="87">
        <v>150</v>
      </c>
      <c r="G42" s="21">
        <f>pop_1*above15_pop</f>
        <v>5800</v>
      </c>
      <c r="H42" s="22">
        <f t="shared" si="0"/>
        <v>52.199999999999996</v>
      </c>
      <c r="I42" s="21">
        <f>H42*$E42*buffer_stock</f>
        <v>9787.4999999999982</v>
      </c>
      <c r="K42" s="21">
        <f>pop_2*above15_pop</f>
        <v>8700</v>
      </c>
      <c r="L42" s="22">
        <f t="shared" si="1"/>
        <v>78.3</v>
      </c>
      <c r="M42" s="21">
        <f>L42*$E42*buffer_stock</f>
        <v>14681.25</v>
      </c>
      <c r="O42" s="21">
        <f>pop_3*above15_pop</f>
        <v>11600</v>
      </c>
      <c r="P42" s="22">
        <f t="shared" si="2"/>
        <v>104.39999999999999</v>
      </c>
      <c r="Q42" s="21">
        <f>P42*$E42*buffer_stock</f>
        <v>19574.999999999996</v>
      </c>
      <c r="S42" s="21">
        <f>Pop_4*above15_pop</f>
        <v>14499.999999999998</v>
      </c>
      <c r="T42" s="22">
        <f t="shared" si="3"/>
        <v>130.49999999999997</v>
      </c>
      <c r="U42" s="21">
        <f>T42*$E42*buffer_stock</f>
        <v>24468.749999999996</v>
      </c>
      <c r="X42" s="21">
        <f>pop_1*above15_pop</f>
        <v>5800</v>
      </c>
      <c r="Y42" s="22">
        <f>X42*$C42*(1+perc_increase)</f>
        <v>60.029999999999987</v>
      </c>
      <c r="Z42" s="21">
        <f>Y42*$E42*buffer_stock</f>
        <v>11255.624999999998</v>
      </c>
      <c r="AB42" s="21">
        <f>pop_2*above15_pop</f>
        <v>8700</v>
      </c>
      <c r="AC42" s="22">
        <f>AB42*$C42*(1+perc_increase)</f>
        <v>90.044999999999987</v>
      </c>
      <c r="AD42" s="21">
        <f>AC42*$E42*buffer_stock</f>
        <v>16883.437499999996</v>
      </c>
      <c r="AE42" s="19"/>
      <c r="AF42" s="21">
        <f>pop_3*above15_pop</f>
        <v>11600</v>
      </c>
      <c r="AG42" s="22">
        <f>AF42*$C42*(1+perc_increase)</f>
        <v>120.05999999999997</v>
      </c>
      <c r="AH42" s="21">
        <f>AG42*$E42*buffer_stock</f>
        <v>22511.249999999996</v>
      </c>
      <c r="AI42" s="19"/>
      <c r="AJ42" s="21">
        <f>Pop_4*above15_pop</f>
        <v>14499.999999999998</v>
      </c>
      <c r="AK42" s="22">
        <f>AJ42*$C42*(1+perc_increase)</f>
        <v>150.07499999999996</v>
      </c>
      <c r="AL42" s="21">
        <f>AK42*$E42*buffer_stock</f>
        <v>28139.062499999993</v>
      </c>
      <c r="AM42" s="19"/>
    </row>
    <row r="43" spans="1:39" x14ac:dyDescent="0.25">
      <c r="B43" s="112"/>
      <c r="E43" s="87"/>
      <c r="H43" s="22"/>
      <c r="I43" s="21"/>
      <c r="K43" s="21"/>
      <c r="L43" s="22"/>
      <c r="M43" s="21"/>
      <c r="O43" s="21"/>
      <c r="P43" s="22"/>
      <c r="Q43" s="21"/>
      <c r="S43" s="21"/>
      <c r="T43" s="22"/>
      <c r="U43" s="21"/>
      <c r="X43" s="21"/>
      <c r="Y43" s="22"/>
      <c r="Z43" s="21"/>
      <c r="AB43" s="21"/>
      <c r="AC43" s="22"/>
      <c r="AD43" s="21"/>
      <c r="AE43" s="19"/>
      <c r="AF43" s="21"/>
      <c r="AG43" s="22"/>
      <c r="AH43" s="21"/>
      <c r="AI43" s="19"/>
      <c r="AJ43" s="21"/>
      <c r="AK43" s="22"/>
      <c r="AL43" s="21"/>
      <c r="AM43" s="19"/>
    </row>
    <row r="44" spans="1:39" x14ac:dyDescent="0.25">
      <c r="A44" t="s">
        <v>724</v>
      </c>
      <c r="B44" s="112" t="s">
        <v>91</v>
      </c>
      <c r="C44" s="42">
        <v>4.2999999999999997E-2</v>
      </c>
      <c r="E44" s="87">
        <v>15</v>
      </c>
      <c r="G44" s="21">
        <f>pop_1*above5_pop</f>
        <v>8580</v>
      </c>
      <c r="H44" s="22">
        <f t="shared" si="0"/>
        <v>368.94</v>
      </c>
      <c r="I44" s="21">
        <f>H44*$E44*buffer_stock</f>
        <v>6917.625</v>
      </c>
      <c r="K44" s="21">
        <f>pop_2*above5_pop</f>
        <v>12870</v>
      </c>
      <c r="L44" s="22">
        <f t="shared" si="1"/>
        <v>553.41</v>
      </c>
      <c r="M44" s="21">
        <f>L44*$E44*buffer_stock</f>
        <v>10376.4375</v>
      </c>
      <c r="O44" s="21">
        <f>pop_3*above5_pop</f>
        <v>17160</v>
      </c>
      <c r="P44" s="22">
        <f t="shared" si="2"/>
        <v>737.88</v>
      </c>
      <c r="Q44" s="21">
        <f>P44*$E44*buffer_stock</f>
        <v>13835.25</v>
      </c>
      <c r="S44" s="21">
        <f>Pop_4*above5_pop</f>
        <v>21450</v>
      </c>
      <c r="T44" s="22">
        <f t="shared" si="3"/>
        <v>922.34999999999991</v>
      </c>
      <c r="U44" s="21">
        <f>T44*$E44*buffer_stock</f>
        <v>17294.062499999996</v>
      </c>
      <c r="X44" s="21">
        <f>pop_1*above5_pop</f>
        <v>8580</v>
      </c>
      <c r="Y44" s="22">
        <f>X44*$C44*(1+perc_increase)</f>
        <v>424.28099999999995</v>
      </c>
      <c r="Z44" s="21">
        <f>Y44*$E44*buffer_stock</f>
        <v>7955.2687499999993</v>
      </c>
      <c r="AB44" s="21">
        <f>pop_2*above5_pop</f>
        <v>12870</v>
      </c>
      <c r="AC44" s="22">
        <f>AB44*$C44*(1+perc_increase)</f>
        <v>636.42149999999992</v>
      </c>
      <c r="AD44" s="21">
        <f>AC44*$E44*buffer_stock</f>
        <v>11932.903124999997</v>
      </c>
      <c r="AE44" s="19"/>
      <c r="AF44" s="21">
        <f>pop_3*above5_pop</f>
        <v>17160</v>
      </c>
      <c r="AG44" s="22">
        <f>AF44*$C44*(1+perc_increase)</f>
        <v>848.5619999999999</v>
      </c>
      <c r="AH44" s="21">
        <f>AG44*$E44*buffer_stock</f>
        <v>15910.537499999999</v>
      </c>
      <c r="AI44" s="19"/>
      <c r="AJ44" s="21">
        <f>Pop_4*above5_pop</f>
        <v>21450</v>
      </c>
      <c r="AK44" s="22">
        <f>AJ44*$C44*(1+perc_increase)</f>
        <v>1060.7024999999999</v>
      </c>
      <c r="AL44" s="21">
        <f>AK44*$E44*buffer_stock</f>
        <v>19888.171875</v>
      </c>
      <c r="AM44" s="19"/>
    </row>
    <row r="45" spans="1:39" x14ac:dyDescent="0.25">
      <c r="B45" s="112"/>
      <c r="E45" s="87"/>
      <c r="H45" s="22"/>
      <c r="I45" s="21"/>
      <c r="K45" s="21"/>
      <c r="L45" s="22"/>
      <c r="M45" s="21"/>
      <c r="O45" s="21"/>
      <c r="P45" s="22"/>
      <c r="Q45" s="21"/>
      <c r="S45" s="21"/>
      <c r="T45" s="22"/>
      <c r="U45" s="21"/>
      <c r="X45" s="21"/>
      <c r="Y45" s="22"/>
      <c r="Z45" s="21"/>
      <c r="AB45" s="21"/>
      <c r="AC45" s="22"/>
      <c r="AD45" s="21"/>
      <c r="AE45" s="19"/>
      <c r="AF45" s="21"/>
      <c r="AG45" s="22"/>
      <c r="AH45" s="21"/>
      <c r="AI45" s="19"/>
      <c r="AJ45" s="21"/>
      <c r="AK45" s="22"/>
      <c r="AL45" s="21"/>
      <c r="AM45" s="19"/>
    </row>
    <row r="46" spans="1:39" x14ac:dyDescent="0.25">
      <c r="A46" t="s">
        <v>724</v>
      </c>
      <c r="B46" s="112" t="s">
        <v>614</v>
      </c>
      <c r="C46" s="42">
        <v>2.5999999999999999E-2</v>
      </c>
      <c r="E46" s="87">
        <v>50</v>
      </c>
      <c r="G46" s="21">
        <f>pop_1*above5_pop</f>
        <v>8580</v>
      </c>
      <c r="H46" s="22">
        <f t="shared" si="0"/>
        <v>223.07999999999998</v>
      </c>
      <c r="I46" s="21">
        <f>H46*$E46*buffer_stock</f>
        <v>13942.5</v>
      </c>
      <c r="K46" s="21">
        <f>pop_2*above5_pop</f>
        <v>12870</v>
      </c>
      <c r="L46" s="22">
        <f t="shared" si="1"/>
        <v>334.62</v>
      </c>
      <c r="M46" s="21">
        <f>L46*$E46*buffer_stock</f>
        <v>20913.75</v>
      </c>
      <c r="O46" s="21">
        <f>pop_3*above5_pop</f>
        <v>17160</v>
      </c>
      <c r="P46" s="22">
        <f t="shared" si="2"/>
        <v>446.15999999999997</v>
      </c>
      <c r="Q46" s="21">
        <f>P46*$E46*buffer_stock</f>
        <v>27885</v>
      </c>
      <c r="S46" s="21">
        <f>Pop_4*above5_pop</f>
        <v>21450</v>
      </c>
      <c r="T46" s="22">
        <f t="shared" si="3"/>
        <v>557.69999999999993</v>
      </c>
      <c r="U46" s="21">
        <f>T46*$E46*buffer_stock</f>
        <v>34856.249999999993</v>
      </c>
      <c r="X46" s="21">
        <f>pop_1*above5_pop</f>
        <v>8580</v>
      </c>
      <c r="Y46" s="22">
        <f>X46*$C46*(1+perc_increase)</f>
        <v>256.54199999999997</v>
      </c>
      <c r="Z46" s="21">
        <f>Y46*$E46*buffer_stock</f>
        <v>16033.874999999998</v>
      </c>
      <c r="AB46" s="21">
        <f>pop_2*above5_pop</f>
        <v>12870</v>
      </c>
      <c r="AC46" s="22">
        <f>AB46*$C46*(1+perc_increase)</f>
        <v>384.81299999999999</v>
      </c>
      <c r="AD46" s="21">
        <f>AC46*$E46*buffer_stock</f>
        <v>24050.812499999996</v>
      </c>
      <c r="AE46" s="19"/>
      <c r="AF46" s="21">
        <f>pop_3*above5_pop</f>
        <v>17160</v>
      </c>
      <c r="AG46" s="22">
        <f>AF46*$C46*(1+perc_increase)</f>
        <v>513.08399999999995</v>
      </c>
      <c r="AH46" s="21">
        <f>AG46*$E46*buffer_stock</f>
        <v>32067.749999999996</v>
      </c>
      <c r="AI46" s="19"/>
      <c r="AJ46" s="21">
        <f>Pop_4*above5_pop</f>
        <v>21450</v>
      </c>
      <c r="AK46" s="22">
        <f>AJ46*$C46*(1+perc_increase)</f>
        <v>641.3549999999999</v>
      </c>
      <c r="AL46" s="21">
        <f>AK46*$E46*buffer_stock</f>
        <v>40084.687499999993</v>
      </c>
      <c r="AM46" s="19"/>
    </row>
    <row r="47" spans="1:39" x14ac:dyDescent="0.25">
      <c r="B47" s="112"/>
      <c r="E47" s="87"/>
      <c r="H47" s="22"/>
      <c r="I47" s="21"/>
      <c r="K47" s="21"/>
      <c r="L47" s="22"/>
      <c r="M47" s="21"/>
      <c r="O47" s="21"/>
      <c r="P47" s="22"/>
      <c r="Q47" s="21"/>
      <c r="S47" s="21"/>
      <c r="T47" s="22"/>
      <c r="U47" s="21"/>
      <c r="X47" s="21"/>
      <c r="Y47" s="22"/>
      <c r="Z47" s="21"/>
      <c r="AB47" s="21"/>
      <c r="AC47" s="22"/>
      <c r="AD47" s="21"/>
      <c r="AE47" s="19"/>
      <c r="AF47" s="21"/>
      <c r="AG47" s="22"/>
      <c r="AH47" s="21"/>
      <c r="AI47" s="19"/>
      <c r="AJ47" s="21"/>
      <c r="AK47" s="22"/>
      <c r="AL47" s="21"/>
      <c r="AM47" s="19"/>
    </row>
    <row r="48" spans="1:39" x14ac:dyDescent="0.25">
      <c r="A48" t="s">
        <v>724</v>
      </c>
      <c r="B48" s="112" t="s">
        <v>615</v>
      </c>
      <c r="C48" s="42">
        <v>7.0000000000000001E-3</v>
      </c>
      <c r="E48" s="87">
        <v>550</v>
      </c>
      <c r="G48" s="21">
        <f>pop_1*above15_pop</f>
        <v>5800</v>
      </c>
      <c r="H48" s="22">
        <f t="shared" si="0"/>
        <v>40.6</v>
      </c>
      <c r="I48" s="21">
        <f>H48*$E48*buffer_stock</f>
        <v>27912.5</v>
      </c>
      <c r="K48" s="21">
        <f>pop_2*above15_pop</f>
        <v>8700</v>
      </c>
      <c r="L48" s="22">
        <f t="shared" si="1"/>
        <v>60.9</v>
      </c>
      <c r="M48" s="21">
        <f>L48*$E48*buffer_stock</f>
        <v>41868.75</v>
      </c>
      <c r="O48" s="21">
        <f>pop_3*above15_pop</f>
        <v>11600</v>
      </c>
      <c r="P48" s="22">
        <f t="shared" si="2"/>
        <v>81.2</v>
      </c>
      <c r="Q48" s="21">
        <f>P48*$E48*buffer_stock</f>
        <v>55825</v>
      </c>
      <c r="S48" s="21">
        <f>Pop_4*above15_pop</f>
        <v>14499.999999999998</v>
      </c>
      <c r="T48" s="22">
        <f t="shared" si="3"/>
        <v>101.49999999999999</v>
      </c>
      <c r="U48" s="21">
        <f>T48*$E48*buffer_stock</f>
        <v>69781.249999999985</v>
      </c>
      <c r="X48" s="21">
        <f>pop_1*above15_pop</f>
        <v>5800</v>
      </c>
      <c r="Y48" s="22">
        <f>X48*$C48*(1+perc_increase)</f>
        <v>46.69</v>
      </c>
      <c r="Z48" s="21">
        <f>Y48*$E48*buffer_stock</f>
        <v>32099.375</v>
      </c>
      <c r="AB48" s="21">
        <f>pop_2*above15_pop</f>
        <v>8700</v>
      </c>
      <c r="AC48" s="22">
        <f>AB48*$C48*(1+perc_increase)</f>
        <v>70.034999999999997</v>
      </c>
      <c r="AD48" s="21">
        <f>AC48*$E48*buffer_stock</f>
        <v>48149.0625</v>
      </c>
      <c r="AE48" s="19"/>
      <c r="AF48" s="21">
        <f>pop_3*above15_pop</f>
        <v>11600</v>
      </c>
      <c r="AG48" s="22">
        <f>AF48*$C48*(1+perc_increase)</f>
        <v>93.38</v>
      </c>
      <c r="AH48" s="21">
        <f>AG48*$E48*buffer_stock</f>
        <v>64198.75</v>
      </c>
      <c r="AI48" s="19"/>
      <c r="AJ48" s="21">
        <f>Pop_4*above15_pop</f>
        <v>14499.999999999998</v>
      </c>
      <c r="AK48" s="22">
        <f>AJ48*$C48*(1+perc_increase)</f>
        <v>116.72499999999998</v>
      </c>
      <c r="AL48" s="21">
        <f>AK48*$E48*buffer_stock</f>
        <v>80248.437499999985</v>
      </c>
      <c r="AM48" s="19"/>
    </row>
    <row r="49" spans="1:39" x14ac:dyDescent="0.25">
      <c r="B49" s="112"/>
      <c r="E49" s="87"/>
      <c r="H49" s="22"/>
      <c r="I49" s="21"/>
      <c r="K49" s="21"/>
      <c r="L49" s="22"/>
      <c r="M49" s="21"/>
      <c r="O49" s="21"/>
      <c r="P49" s="22"/>
      <c r="Q49" s="21"/>
      <c r="S49" s="21"/>
      <c r="T49" s="22"/>
      <c r="U49" s="21"/>
      <c r="X49" s="21"/>
      <c r="Y49" s="22"/>
      <c r="Z49" s="21"/>
      <c r="AB49" s="21"/>
      <c r="AC49" s="22"/>
      <c r="AD49" s="21"/>
      <c r="AE49" s="19"/>
      <c r="AF49" s="21"/>
      <c r="AG49" s="22"/>
      <c r="AH49" s="21"/>
      <c r="AI49" s="19"/>
      <c r="AJ49" s="21"/>
      <c r="AK49" s="22"/>
      <c r="AL49" s="21"/>
      <c r="AM49" s="19"/>
    </row>
    <row r="50" spans="1:39" x14ac:dyDescent="0.25">
      <c r="A50" t="s">
        <v>724</v>
      </c>
      <c r="B50" s="112" t="s">
        <v>616</v>
      </c>
      <c r="C50">
        <v>0</v>
      </c>
      <c r="E50" s="87">
        <v>0</v>
      </c>
      <c r="G50" s="21">
        <f>pop_1*above15_pop</f>
        <v>5800</v>
      </c>
      <c r="H50" s="22">
        <f t="shared" si="0"/>
        <v>0</v>
      </c>
      <c r="I50" s="21">
        <f>H50*$E50*buffer_stock</f>
        <v>0</v>
      </c>
      <c r="K50" s="21">
        <f>pop_2*above15_pop</f>
        <v>8700</v>
      </c>
      <c r="L50" s="22">
        <f t="shared" si="1"/>
        <v>0</v>
      </c>
      <c r="M50" s="21">
        <f>L50*$E50*buffer_stock</f>
        <v>0</v>
      </c>
      <c r="O50" s="21">
        <f>pop_3*above15_pop</f>
        <v>11600</v>
      </c>
      <c r="P50" s="22">
        <f t="shared" si="2"/>
        <v>0</v>
      </c>
      <c r="Q50" s="21">
        <f>P50*$E50*buffer_stock</f>
        <v>0</v>
      </c>
      <c r="S50" s="21">
        <f>Pop_4*above15_pop</f>
        <v>14499.999999999998</v>
      </c>
      <c r="T50" s="22">
        <f t="shared" si="3"/>
        <v>0</v>
      </c>
      <c r="U50" s="21">
        <f>T50*$E50*buffer_stock</f>
        <v>0</v>
      </c>
      <c r="X50" s="21">
        <f>pop_1*above15_pop</f>
        <v>5800</v>
      </c>
      <c r="Y50" s="22">
        <f>X50*$C50*(1+perc_increase)</f>
        <v>0</v>
      </c>
      <c r="Z50" s="21">
        <f>Y50*$E50*buffer_stock</f>
        <v>0</v>
      </c>
      <c r="AB50" s="21">
        <f>pop_2*above15_pop</f>
        <v>8700</v>
      </c>
      <c r="AC50" s="22">
        <f>AB50*$C50*(1+perc_increase)</f>
        <v>0</v>
      </c>
      <c r="AD50" s="21">
        <f>AC50*$E50*buffer_stock</f>
        <v>0</v>
      </c>
      <c r="AE50" s="19"/>
      <c r="AF50" s="21">
        <f>pop_3*above15_pop</f>
        <v>11600</v>
      </c>
      <c r="AG50" s="22">
        <f>AF50*$C50*(1+perc_increase)</f>
        <v>0</v>
      </c>
      <c r="AH50" s="21">
        <f>AG50*$E50*buffer_stock</f>
        <v>0</v>
      </c>
      <c r="AI50" s="19"/>
      <c r="AJ50" s="21">
        <f>Pop_4*above15_pop</f>
        <v>14499.999999999998</v>
      </c>
      <c r="AK50" s="22">
        <f>AJ50*$C50*(1+perc_increase)</f>
        <v>0</v>
      </c>
      <c r="AL50" s="21">
        <f>AK50*$E50*buffer_stock</f>
        <v>0</v>
      </c>
      <c r="AM50" s="19"/>
    </row>
    <row r="51" spans="1:39" x14ac:dyDescent="0.25">
      <c r="B51" s="112"/>
      <c r="E51" s="87"/>
      <c r="H51" s="22"/>
      <c r="I51" s="21"/>
      <c r="K51" s="21"/>
      <c r="L51" s="22"/>
      <c r="M51" s="21"/>
      <c r="O51" s="21"/>
      <c r="P51" s="22"/>
      <c r="Q51" s="21"/>
      <c r="S51" s="21"/>
      <c r="T51" s="22"/>
      <c r="U51" s="21"/>
      <c r="X51" s="21"/>
      <c r="Y51" s="22"/>
      <c r="Z51" s="21"/>
      <c r="AB51" s="21"/>
      <c r="AC51" s="22"/>
      <c r="AD51" s="21"/>
      <c r="AE51" s="19"/>
      <c r="AF51" s="21"/>
      <c r="AG51" s="22"/>
      <c r="AH51" s="21"/>
      <c r="AI51" s="19"/>
      <c r="AJ51" s="21"/>
      <c r="AK51" s="22"/>
      <c r="AL51" s="21"/>
      <c r="AM51" s="19"/>
    </row>
    <row r="52" spans="1:39" x14ac:dyDescent="0.25">
      <c r="A52" t="s">
        <v>724</v>
      </c>
      <c r="B52" s="112" t="s">
        <v>617</v>
      </c>
      <c r="C52" s="42">
        <v>0</v>
      </c>
      <c r="E52" s="87">
        <v>100</v>
      </c>
      <c r="G52" s="21">
        <f>pop_1*above5_pop</f>
        <v>8580</v>
      </c>
      <c r="H52" s="22">
        <f t="shared" si="0"/>
        <v>0</v>
      </c>
      <c r="I52" s="21">
        <f>H52*$E52*buffer_stock</f>
        <v>0</v>
      </c>
      <c r="K52" s="21">
        <f>pop_2*above5_pop</f>
        <v>12870</v>
      </c>
      <c r="L52" s="22">
        <f t="shared" si="1"/>
        <v>0</v>
      </c>
      <c r="M52" s="21">
        <f>L52*$E52*buffer_stock</f>
        <v>0</v>
      </c>
      <c r="O52" s="21">
        <f>pop_3*above5_pop</f>
        <v>17160</v>
      </c>
      <c r="P52" s="22">
        <f t="shared" si="2"/>
        <v>0</v>
      </c>
      <c r="Q52" s="21">
        <f>P52*$E52*buffer_stock</f>
        <v>0</v>
      </c>
      <c r="S52" s="21">
        <f>Pop_4*above5_pop</f>
        <v>21450</v>
      </c>
      <c r="T52" s="22">
        <f t="shared" si="3"/>
        <v>0</v>
      </c>
      <c r="U52" s="21">
        <f>T52*$E52*buffer_stock</f>
        <v>0</v>
      </c>
      <c r="X52" s="21">
        <f>pop_1*above5_pop</f>
        <v>8580</v>
      </c>
      <c r="Y52" s="22">
        <f>X52*$C52*(1+perc_increase)</f>
        <v>0</v>
      </c>
      <c r="Z52" s="21">
        <f>Y52*$E52*buffer_stock</f>
        <v>0</v>
      </c>
      <c r="AB52" s="21">
        <f>pop_2*above5_pop</f>
        <v>12870</v>
      </c>
      <c r="AC52" s="22">
        <f>AB52*$C52*(1+perc_increase)</f>
        <v>0</v>
      </c>
      <c r="AD52" s="21">
        <f>AC52*$E52*buffer_stock</f>
        <v>0</v>
      </c>
      <c r="AE52" s="19"/>
      <c r="AF52" s="21">
        <f>pop_3*above5_pop</f>
        <v>17160</v>
      </c>
      <c r="AG52" s="22">
        <f>AF52*$C52*(1+perc_increase)</f>
        <v>0</v>
      </c>
      <c r="AH52" s="21">
        <f>AG52*$E52*buffer_stock</f>
        <v>0</v>
      </c>
      <c r="AI52" s="19"/>
      <c r="AJ52" s="21">
        <f>Pop_4*above5_pop</f>
        <v>21450</v>
      </c>
      <c r="AK52" s="22">
        <f>AJ52*$C52*(1+perc_increase)</f>
        <v>0</v>
      </c>
      <c r="AL52" s="21">
        <f>AK52*$E52*buffer_stock</f>
        <v>0</v>
      </c>
      <c r="AM52" s="19"/>
    </row>
    <row r="53" spans="1:39" x14ac:dyDescent="0.25">
      <c r="B53" s="112"/>
      <c r="E53" s="87"/>
      <c r="H53" s="22"/>
      <c r="I53" s="21"/>
      <c r="K53" s="21"/>
      <c r="L53" s="22"/>
      <c r="M53" s="21"/>
      <c r="O53" s="21"/>
      <c r="P53" s="22"/>
      <c r="Q53" s="21"/>
      <c r="S53" s="21"/>
      <c r="T53" s="22"/>
      <c r="U53" s="21"/>
      <c r="X53" s="21"/>
      <c r="Y53" s="22"/>
      <c r="Z53" s="21"/>
      <c r="AB53" s="21"/>
      <c r="AC53" s="22"/>
      <c r="AD53" s="21"/>
      <c r="AE53" s="19"/>
      <c r="AF53" s="21"/>
      <c r="AG53" s="22"/>
      <c r="AH53" s="21"/>
      <c r="AI53" s="19"/>
      <c r="AJ53" s="21"/>
      <c r="AK53" s="22"/>
      <c r="AL53" s="21"/>
      <c r="AM53" s="19"/>
    </row>
    <row r="54" spans="1:39" x14ac:dyDescent="0.25">
      <c r="A54" t="s">
        <v>724</v>
      </c>
      <c r="B54" s="112" t="s">
        <v>618</v>
      </c>
      <c r="C54" s="42">
        <v>5.0000000000000001E-3</v>
      </c>
      <c r="E54" s="87">
        <v>100</v>
      </c>
      <c r="G54" s="21">
        <f>pop_1*above5_pop</f>
        <v>8580</v>
      </c>
      <c r="H54" s="22">
        <f t="shared" si="0"/>
        <v>42.9</v>
      </c>
      <c r="I54" s="21">
        <f>H54*$E54*buffer_stock</f>
        <v>5362.5</v>
      </c>
      <c r="K54" s="21">
        <f>pop_2*above5_pop</f>
        <v>12870</v>
      </c>
      <c r="L54" s="22">
        <f t="shared" si="1"/>
        <v>64.349999999999994</v>
      </c>
      <c r="M54" s="21">
        <f>L54*$E54*buffer_stock</f>
        <v>8043.7499999999991</v>
      </c>
      <c r="O54" s="21">
        <f>pop_3*above5_pop</f>
        <v>17160</v>
      </c>
      <c r="P54" s="22">
        <f t="shared" si="2"/>
        <v>85.8</v>
      </c>
      <c r="Q54" s="21">
        <f>P54*$E54*buffer_stock</f>
        <v>10725</v>
      </c>
      <c r="S54" s="21">
        <f>Pop_4*above5_pop</f>
        <v>21450</v>
      </c>
      <c r="T54" s="22">
        <f t="shared" si="3"/>
        <v>107.25</v>
      </c>
      <c r="U54" s="21">
        <f>T54*$E54*buffer_stock</f>
        <v>13406.25</v>
      </c>
      <c r="X54" s="21">
        <f>pop_1*above5_pop</f>
        <v>8580</v>
      </c>
      <c r="Y54" s="22">
        <f>X54*$C54*(1+perc_increase)</f>
        <v>49.334999999999994</v>
      </c>
      <c r="Z54" s="21">
        <f>Y54*$E54*buffer_stock</f>
        <v>6166.8749999999991</v>
      </c>
      <c r="AB54" s="21">
        <f>pop_2*above5_pop</f>
        <v>12870</v>
      </c>
      <c r="AC54" s="22">
        <f>AB54*$C54*(1+perc_increase)</f>
        <v>74.002499999999984</v>
      </c>
      <c r="AD54" s="21">
        <f>AC54*$E54*buffer_stock</f>
        <v>9250.3124999999982</v>
      </c>
      <c r="AE54" s="19"/>
      <c r="AF54" s="21">
        <f>pop_3*above5_pop</f>
        <v>17160</v>
      </c>
      <c r="AG54" s="22">
        <f>AF54*$C54*(1+perc_increase)</f>
        <v>98.669999999999987</v>
      </c>
      <c r="AH54" s="21">
        <f>AG54*$E54*buffer_stock</f>
        <v>12333.749999999998</v>
      </c>
      <c r="AI54" s="19"/>
      <c r="AJ54" s="21">
        <f>Pop_4*above5_pop</f>
        <v>21450</v>
      </c>
      <c r="AK54" s="22">
        <f>AJ54*$C54*(1+perc_increase)</f>
        <v>123.33749999999999</v>
      </c>
      <c r="AL54" s="21">
        <f>AK54*$E54*buffer_stock</f>
        <v>15417.1875</v>
      </c>
      <c r="AM54" s="19"/>
    </row>
    <row r="55" spans="1:39" s="19" customFormat="1" x14ac:dyDescent="0.25">
      <c r="B55" s="112"/>
      <c r="C55" s="42"/>
      <c r="E55" s="87"/>
      <c r="F55" s="128"/>
      <c r="G55" s="21"/>
      <c r="H55" s="22"/>
      <c r="I55" s="21"/>
      <c r="K55" s="21"/>
      <c r="L55" s="22"/>
      <c r="M55" s="21"/>
      <c r="O55" s="21"/>
      <c r="P55" s="22"/>
      <c r="Q55" s="21"/>
      <c r="S55" s="21"/>
      <c r="T55" s="22"/>
      <c r="U55" s="21"/>
      <c r="W55" s="128"/>
      <c r="X55" s="21"/>
      <c r="Y55" s="22"/>
      <c r="Z55" s="21"/>
      <c r="AB55" s="21"/>
      <c r="AC55" s="22"/>
      <c r="AD55" s="21"/>
      <c r="AF55" s="21"/>
      <c r="AG55" s="22"/>
      <c r="AH55" s="21"/>
      <c r="AJ55" s="21"/>
      <c r="AK55" s="22"/>
      <c r="AL55" s="21"/>
    </row>
    <row r="56" spans="1:39" x14ac:dyDescent="0.25">
      <c r="B56" t="s">
        <v>944</v>
      </c>
      <c r="C56" s="42">
        <v>0</v>
      </c>
      <c r="E56" s="19">
        <f>'28.Nut_MMS'!I16</f>
        <v>194.88</v>
      </c>
      <c r="G56" s="21">
        <f>pop_1*u5_pop</f>
        <v>1419.9999999999998</v>
      </c>
      <c r="H56" s="22">
        <f t="shared" si="0"/>
        <v>0</v>
      </c>
      <c r="I56" s="21">
        <f>H56*$E56*buffer_stock</f>
        <v>0</v>
      </c>
      <c r="K56" s="21">
        <f>pop_2*u5_pop</f>
        <v>2130</v>
      </c>
      <c r="L56" s="22">
        <f t="shared" ref="L56" si="4">K56*$C56</f>
        <v>0</v>
      </c>
      <c r="M56" s="21">
        <f>L56*$E56*buffer_stock</f>
        <v>0</v>
      </c>
      <c r="O56" s="21">
        <f>pop_3*u5_pop</f>
        <v>2839.9999999999995</v>
      </c>
      <c r="P56" s="22">
        <f t="shared" ref="P56" si="5">O56*$C56</f>
        <v>0</v>
      </c>
      <c r="Q56" s="21">
        <f>P56*$E56*buffer_stock</f>
        <v>0</v>
      </c>
      <c r="S56" s="21">
        <f>Pop_4*u5_pop</f>
        <v>3549.9999999999995</v>
      </c>
      <c r="T56" s="22">
        <f t="shared" ref="T56" si="6">S56*$C56</f>
        <v>0</v>
      </c>
      <c r="U56" s="21">
        <f>T56*$E56*buffer_stock</f>
        <v>0</v>
      </c>
      <c r="X56" s="21">
        <f>pop_1*u5_pop</f>
        <v>1419.9999999999998</v>
      </c>
      <c r="Y56" s="22">
        <f>X56*$C56*(1+perc_increase)</f>
        <v>0</v>
      </c>
      <c r="Z56" s="21">
        <f>Y56*$E56*buffer_stock</f>
        <v>0</v>
      </c>
      <c r="AB56" s="21">
        <f>pop_2*u5_pop</f>
        <v>2130</v>
      </c>
      <c r="AC56" s="22">
        <f>AB56*$C56*(1+perc_increase)</f>
        <v>0</v>
      </c>
      <c r="AD56" s="21">
        <f>AC56*$E56*buffer_stock</f>
        <v>0</v>
      </c>
      <c r="AE56" s="19"/>
      <c r="AF56" s="21">
        <f>pop_3*u5_pop</f>
        <v>2839.9999999999995</v>
      </c>
      <c r="AG56" s="22">
        <f>AF56*$C56*(1+perc_increase)</f>
        <v>0</v>
      </c>
      <c r="AH56" s="21">
        <f>AG56*$E56*buffer_stock</f>
        <v>0</v>
      </c>
      <c r="AI56" s="19"/>
      <c r="AJ56" s="21">
        <f>Pop_4*u5_pop</f>
        <v>3549.9999999999995</v>
      </c>
      <c r="AK56" s="22">
        <f>AJ56*$C56*(1+perc_increase)</f>
        <v>0</v>
      </c>
      <c r="AL56" s="21">
        <f>AK56*$E56*buffer_stock</f>
        <v>0</v>
      </c>
      <c r="AM56" s="19"/>
    </row>
    <row r="57" spans="1:39" s="19" customFormat="1" x14ac:dyDescent="0.25">
      <c r="C57" s="42"/>
      <c r="F57" s="128"/>
      <c r="G57" s="21"/>
      <c r="H57" s="22"/>
      <c r="I57" s="21"/>
      <c r="K57" s="21"/>
      <c r="L57" s="22"/>
      <c r="M57" s="21"/>
      <c r="O57" s="21"/>
      <c r="P57" s="22"/>
      <c r="Q57" s="21"/>
      <c r="S57" s="21"/>
      <c r="T57" s="22"/>
      <c r="U57" s="21"/>
      <c r="W57" s="128"/>
      <c r="X57" s="21"/>
      <c r="AB57" s="21"/>
      <c r="AF57" s="21"/>
      <c r="AJ57" s="21"/>
    </row>
    <row r="58" spans="1:39" s="19" customFormat="1" x14ac:dyDescent="0.25">
      <c r="B58" s="19" t="s">
        <v>947</v>
      </c>
      <c r="C58" s="42">
        <v>0</v>
      </c>
      <c r="E58" s="19">
        <f>'27.Nut_VitA'!I16</f>
        <v>14.198399999999999</v>
      </c>
      <c r="F58" s="128"/>
      <c r="G58" s="21">
        <f>pop_1*u5_pop</f>
        <v>1419.9999999999998</v>
      </c>
      <c r="H58" s="22">
        <f t="shared" ref="H58" si="7">G58*$C58</f>
        <v>0</v>
      </c>
      <c r="I58" s="21">
        <f>H58*$E58*buffer_stock</f>
        <v>0</v>
      </c>
      <c r="K58" s="21">
        <f>pop_2*u5_pop</f>
        <v>2130</v>
      </c>
      <c r="L58" s="22">
        <f t="shared" ref="L58" si="8">K58*$C58</f>
        <v>0</v>
      </c>
      <c r="M58" s="21">
        <f>L58*$E58*buffer_stock</f>
        <v>0</v>
      </c>
      <c r="O58" s="21">
        <f>pop_3*u5_pop</f>
        <v>2839.9999999999995</v>
      </c>
      <c r="P58" s="22">
        <f t="shared" ref="P58" si="9">O58*$C58</f>
        <v>0</v>
      </c>
      <c r="Q58" s="21">
        <f>P58*$E58*buffer_stock</f>
        <v>0</v>
      </c>
      <c r="S58" s="21">
        <f>Pop_4*u5_pop</f>
        <v>3549.9999999999995</v>
      </c>
      <c r="T58" s="22">
        <f t="shared" ref="T58" si="10">S58*$C58</f>
        <v>0</v>
      </c>
      <c r="U58" s="21">
        <f>T58*$E58*buffer_stock</f>
        <v>0</v>
      </c>
      <c r="W58" s="128"/>
      <c r="X58" s="21">
        <f>pop_1*u5_pop</f>
        <v>1419.9999999999998</v>
      </c>
      <c r="Y58" s="22">
        <f>X58*$C58*(1+perc_increase)</f>
        <v>0</v>
      </c>
      <c r="Z58" s="21">
        <f>Y58*$E58*buffer_stock</f>
        <v>0</v>
      </c>
      <c r="AB58" s="21">
        <f>pop_2*u5_pop</f>
        <v>2130</v>
      </c>
      <c r="AC58" s="22">
        <f>AB58*$C58*(1+perc_increase)</f>
        <v>0</v>
      </c>
      <c r="AD58" s="21">
        <f>AC58*$E58*buffer_stock</f>
        <v>0</v>
      </c>
      <c r="AF58" s="21">
        <f>pop_3*u5_pop</f>
        <v>2839.9999999999995</v>
      </c>
      <c r="AG58" s="22">
        <f>AF58*$C58*(1+perc_increase)</f>
        <v>0</v>
      </c>
      <c r="AH58" s="21">
        <f>AG58*$E58*buffer_stock</f>
        <v>0</v>
      </c>
      <c r="AJ58" s="21">
        <f>Pop_4*u5_pop</f>
        <v>3549.9999999999995</v>
      </c>
      <c r="AK58" s="22">
        <f>AJ58*$C58*(1+perc_increase)</f>
        <v>0</v>
      </c>
      <c r="AL58" s="21">
        <f>AK58*$E58*buffer_stock</f>
        <v>0</v>
      </c>
    </row>
    <row r="59" spans="1:39" s="19" customFormat="1" x14ac:dyDescent="0.25">
      <c r="C59" s="42"/>
      <c r="F59" s="128"/>
      <c r="G59" s="21"/>
      <c r="H59" s="22"/>
      <c r="I59" s="21"/>
      <c r="K59" s="21"/>
      <c r="O59" s="21"/>
      <c r="S59" s="21"/>
      <c r="W59" s="128"/>
      <c r="X59" s="21"/>
      <c r="AB59" s="21"/>
      <c r="AF59" s="21"/>
      <c r="AJ59" s="21"/>
    </row>
    <row r="60" spans="1:39" x14ac:dyDescent="0.25">
      <c r="I60" s="22">
        <f>SUM(I3:I58)</f>
        <v>527903.56094521494</v>
      </c>
      <c r="K60" s="21"/>
      <c r="L60" s="19"/>
      <c r="M60" s="22">
        <f>SUM(M3:M58)</f>
        <v>791855.34141782252</v>
      </c>
      <c r="O60" s="21"/>
      <c r="P60" s="19"/>
      <c r="Q60" s="22">
        <f>SUM(Q3:Q58)</f>
        <v>1055807.1218904299</v>
      </c>
      <c r="S60" s="21"/>
      <c r="U60" s="22">
        <f>SUM(U3:U58)</f>
        <v>1319758.9023630377</v>
      </c>
      <c r="X60" s="21"/>
      <c r="Z60" s="22">
        <f>SUM(Z3:Z58)</f>
        <v>607089.09508699726</v>
      </c>
      <c r="AB60" s="21"/>
      <c r="AC60" s="19"/>
      <c r="AD60" s="22">
        <f>SUM(AD3:AD58)</f>
        <v>910633.64263049583</v>
      </c>
      <c r="AE60" s="19"/>
      <c r="AF60" s="21"/>
      <c r="AG60" s="19"/>
      <c r="AH60" s="22">
        <f>SUM(AH3:AH58)</f>
        <v>1214178.1901739945</v>
      </c>
      <c r="AI60" s="19"/>
      <c r="AJ60" s="21"/>
      <c r="AK60" s="19"/>
      <c r="AL60" s="22">
        <f>SUM(AL3:AL58)</f>
        <v>1517722.737717493</v>
      </c>
      <c r="AM60" s="19"/>
    </row>
    <row r="61" spans="1:39" x14ac:dyDescent="0.25">
      <c r="X61" s="21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 x14ac:dyDescent="0.25">
      <c r="G62" s="21" t="s">
        <v>722</v>
      </c>
      <c r="I62" s="22">
        <f>I60-I63</f>
        <v>439041.80694635096</v>
      </c>
      <c r="K62" s="21" t="s">
        <v>722</v>
      </c>
      <c r="L62" s="19"/>
      <c r="M62" s="22">
        <f>M60-M63</f>
        <v>658562.71041952656</v>
      </c>
      <c r="O62" s="21" t="s">
        <v>722</v>
      </c>
      <c r="P62" s="19"/>
      <c r="Q62" s="22">
        <f>Q60-Q63</f>
        <v>878083.61389270192</v>
      </c>
      <c r="S62" s="21" t="s">
        <v>722</v>
      </c>
      <c r="U62" s="22">
        <f>U60-U63</f>
        <v>1097604.5173658777</v>
      </c>
      <c r="X62" s="21" t="s">
        <v>722</v>
      </c>
      <c r="Z62" s="22">
        <f>Z60-Z63</f>
        <v>504898.07798830367</v>
      </c>
      <c r="AB62" s="21" t="s">
        <v>722</v>
      </c>
      <c r="AC62" s="19"/>
      <c r="AD62" s="22">
        <f>AD60-AD63</f>
        <v>757347.11698245548</v>
      </c>
      <c r="AE62" s="19"/>
      <c r="AF62" s="21" t="s">
        <v>722</v>
      </c>
      <c r="AG62" s="19"/>
      <c r="AH62" s="22">
        <f>AH60-AH63</f>
        <v>1009796.1559766073</v>
      </c>
      <c r="AI62" s="19"/>
      <c r="AJ62" s="21" t="s">
        <v>722</v>
      </c>
      <c r="AK62" s="19"/>
      <c r="AL62" s="22">
        <f>AL60-AL63</f>
        <v>1262245.1949707591</v>
      </c>
      <c r="AM62" s="19"/>
    </row>
    <row r="63" spans="1:39" x14ac:dyDescent="0.25">
      <c r="G63" s="21" t="s">
        <v>65</v>
      </c>
      <c r="I63" s="22">
        <f>I12</f>
        <v>88861.753998863991</v>
      </c>
      <c r="K63" s="21" t="s">
        <v>65</v>
      </c>
      <c r="L63" s="19"/>
      <c r="M63" s="22">
        <f>M12</f>
        <v>133292.63099829596</v>
      </c>
      <c r="O63" s="21" t="s">
        <v>65</v>
      </c>
      <c r="P63" s="19"/>
      <c r="Q63" s="22">
        <f>Q12</f>
        <v>177723.50799772798</v>
      </c>
      <c r="S63" s="21" t="s">
        <v>65</v>
      </c>
      <c r="U63" s="22">
        <f>U12</f>
        <v>222154.38499715994</v>
      </c>
      <c r="X63" s="21" t="s">
        <v>65</v>
      </c>
      <c r="Z63" s="22">
        <f>Z12</f>
        <v>102191.01709869358</v>
      </c>
      <c r="AB63" s="21" t="s">
        <v>65</v>
      </c>
      <c r="AC63" s="19"/>
      <c r="AD63" s="22">
        <f>AD12</f>
        <v>153286.52564804035</v>
      </c>
      <c r="AE63" s="19"/>
      <c r="AF63" s="21" t="s">
        <v>65</v>
      </c>
      <c r="AG63" s="19"/>
      <c r="AH63" s="22">
        <f>AH12</f>
        <v>204382.03419738717</v>
      </c>
      <c r="AI63" s="19"/>
      <c r="AJ63" s="21" t="s">
        <v>65</v>
      </c>
      <c r="AK63" s="19"/>
      <c r="AL63" s="22">
        <f>AL12</f>
        <v>255477.54274673396</v>
      </c>
      <c r="AM63" s="19"/>
    </row>
    <row r="64" spans="1:39" x14ac:dyDescent="0.25">
      <c r="K64" s="21"/>
      <c r="L64" s="19"/>
      <c r="M64" s="19"/>
      <c r="O64" s="21"/>
      <c r="P64" s="19"/>
      <c r="Q64" s="19"/>
      <c r="S64" s="21"/>
      <c r="X64" s="21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7:39" x14ac:dyDescent="0.25">
      <c r="G65" s="21" t="s">
        <v>725</v>
      </c>
      <c r="I65" s="21">
        <f>SUMIFS(I3:I54,$A$3:$A$54,"p")</f>
        <v>118072.24320931506</v>
      </c>
      <c r="K65" s="21" t="s">
        <v>725</v>
      </c>
      <c r="L65" s="19"/>
      <c r="M65" s="21">
        <f>SUMIFS(M3:M54,$A$3:$A$54,"p")</f>
        <v>177108.36481397258</v>
      </c>
      <c r="O65" s="21" t="s">
        <v>725</v>
      </c>
      <c r="P65" s="19"/>
      <c r="Q65" s="21">
        <f>SUMIFS(Q3:Q54,$A$3:$A$54,"p")</f>
        <v>236144.48641863011</v>
      </c>
      <c r="S65" s="21" t="s">
        <v>725</v>
      </c>
      <c r="U65" s="21">
        <f>SUMIFS(U3:U54,$A$3:$A$54,"p")</f>
        <v>295180.60802328761</v>
      </c>
      <c r="X65" s="21" t="s">
        <v>725</v>
      </c>
      <c r="Z65" s="21">
        <f>SUMIFS(Z3:Z54,$A$3:$A$54,"p")</f>
        <v>135783.07969071227</v>
      </c>
      <c r="AB65" s="21" t="s">
        <v>725</v>
      </c>
      <c r="AC65" s="19"/>
      <c r="AD65" s="21">
        <f>SUMIFS(AD3:AD54,$A$3:$A$54,"p")</f>
        <v>203674.61953606844</v>
      </c>
      <c r="AE65" s="19"/>
      <c r="AF65" s="21" t="s">
        <v>725</v>
      </c>
      <c r="AG65" s="19"/>
      <c r="AH65" s="21">
        <f>SUMIFS(AH3:AH54,$A$3:$A$54,"p")</f>
        <v>271566.15938142454</v>
      </c>
      <c r="AI65" s="19"/>
      <c r="AJ65" s="21" t="s">
        <v>725</v>
      </c>
      <c r="AK65" s="19"/>
      <c r="AL65" s="21">
        <f>SUMIFS(AL3:AL54,$A$3:$A$54,"p")</f>
        <v>339457.69922678085</v>
      </c>
      <c r="AM65" s="19"/>
    </row>
    <row r="66" spans="7:39" x14ac:dyDescent="0.25">
      <c r="G66" s="21" t="s">
        <v>726</v>
      </c>
      <c r="I66" s="22">
        <f>I60-I65</f>
        <v>409831.31773589988</v>
      </c>
      <c r="K66" s="21" t="s">
        <v>726</v>
      </c>
      <c r="L66" s="19"/>
      <c r="M66" s="22">
        <f>M60-M65</f>
        <v>614746.97660384991</v>
      </c>
      <c r="O66" s="21" t="s">
        <v>726</v>
      </c>
      <c r="P66" s="19"/>
      <c r="Q66" s="22">
        <f>Q60-Q65</f>
        <v>819662.63547179976</v>
      </c>
      <c r="S66" s="21" t="s">
        <v>726</v>
      </c>
      <c r="U66" s="22">
        <f>U60-U65</f>
        <v>1024578.2943397501</v>
      </c>
      <c r="X66" s="21" t="s">
        <v>726</v>
      </c>
      <c r="Z66" s="22">
        <f>Z60-Z65</f>
        <v>471306.01539628499</v>
      </c>
      <c r="AB66" s="21" t="s">
        <v>726</v>
      </c>
      <c r="AC66" s="19"/>
      <c r="AD66" s="22">
        <f>AD60-AD65</f>
        <v>706959.02309442742</v>
      </c>
      <c r="AE66" s="19"/>
      <c r="AF66" s="21" t="s">
        <v>726</v>
      </c>
      <c r="AG66" s="19"/>
      <c r="AH66" s="22">
        <f>AH60-AH65</f>
        <v>942612.03079256997</v>
      </c>
      <c r="AI66" s="19"/>
      <c r="AJ66" s="21" t="s">
        <v>726</v>
      </c>
      <c r="AK66" s="19"/>
      <c r="AL66" s="22">
        <f>AL60-AL65</f>
        <v>1178265.0384907122</v>
      </c>
      <c r="AM66" s="19"/>
    </row>
    <row r="67" spans="7:39" x14ac:dyDescent="0.25">
      <c r="K67" s="21"/>
      <c r="L67" s="19"/>
      <c r="M67" s="19"/>
      <c r="O67" s="21"/>
      <c r="P67" s="19"/>
      <c r="Q67" s="19"/>
      <c r="S67" s="21"/>
    </row>
    <row r="68" spans="7:39" x14ac:dyDescent="0.25">
      <c r="G68" s="21" t="s">
        <v>735</v>
      </c>
      <c r="H68" s="22">
        <f>SUM(H3:H58)</f>
        <v>5713.6359001399978</v>
      </c>
      <c r="I68" s="127">
        <f>I60/H68</f>
        <v>92.393629935761226</v>
      </c>
      <c r="K68" s="21" t="s">
        <v>735</v>
      </c>
      <c r="L68" s="22">
        <f>SUM(L3:L56)</f>
        <v>8570.4538502100022</v>
      </c>
      <c r="M68" s="127">
        <f>M60/L68</f>
        <v>92.393629935761183</v>
      </c>
      <c r="O68" s="21" t="s">
        <v>735</v>
      </c>
      <c r="P68" s="22">
        <f>SUM(P3:P58)</f>
        <v>11427.271800279996</v>
      </c>
      <c r="Q68" s="127">
        <f>Q60/P68</f>
        <v>92.393629935761226</v>
      </c>
      <c r="S68" s="21" t="s">
        <v>735</v>
      </c>
      <c r="T68" s="22">
        <f>SUM(T3:T58)</f>
        <v>14284.089750350004</v>
      </c>
      <c r="U68" s="127">
        <f>U60/T68</f>
        <v>92.393629935761197</v>
      </c>
    </row>
    <row r="69" spans="7:39" x14ac:dyDescent="0.25">
      <c r="H69" s="125"/>
      <c r="X69" s="19" t="s">
        <v>735</v>
      </c>
      <c r="Y69" s="22">
        <f>SUM(Y4:Y59)</f>
        <v>6464.0348851609997</v>
      </c>
      <c r="Z69" s="127">
        <f>Z60/Y69</f>
        <v>93.917979384771911</v>
      </c>
      <c r="AB69" s="19" t="s">
        <v>735</v>
      </c>
      <c r="AC69" s="22">
        <f>SUM(AC3:AC58)</f>
        <v>9856.0219277414999</v>
      </c>
      <c r="AD69" s="127">
        <f>AD60/AC69</f>
        <v>92.393629935761197</v>
      </c>
      <c r="AF69" s="19" t="s">
        <v>735</v>
      </c>
      <c r="AG69" s="22">
        <f>SUM(AG4:AG59)</f>
        <v>12928.069770321999</v>
      </c>
      <c r="AJ69" s="19" t="s">
        <v>735</v>
      </c>
      <c r="AK69" s="22">
        <f>SUM(AK4:AK59)</f>
        <v>16160.087212902499</v>
      </c>
    </row>
    <row r="70" spans="7:39" x14ac:dyDescent="0.25">
      <c r="H70" s="21"/>
      <c r="I70" s="35"/>
      <c r="Z70" s="35">
        <f>Z60/pop_1</f>
        <v>60.708909508699726</v>
      </c>
    </row>
    <row r="71" spans="7:39" x14ac:dyDescent="0.25">
      <c r="H71" s="35"/>
      <c r="L71" s="22"/>
      <c r="P71" s="22"/>
      <c r="T71" s="22"/>
    </row>
    <row r="72" spans="7:39" x14ac:dyDescent="0.25">
      <c r="H72" s="22">
        <f>SUMPRODUCT(H3:H10,E3:E10)</f>
        <v>127486.78109840001</v>
      </c>
      <c r="P72" s="22">
        <f>SUMPRODUCT(P3:P10,E3:E10)</f>
        <v>254973.56219680002</v>
      </c>
      <c r="Z72" s="22"/>
    </row>
    <row r="73" spans="7:39" x14ac:dyDescent="0.25">
      <c r="H73">
        <f>SUMPRODUCT(H14:H58,E14:E58)</f>
        <v>223746.66445868087</v>
      </c>
      <c r="P73" s="19">
        <f>SUMPRODUCT(P14:P54,E14:E54)</f>
        <v>447493.32891736174</v>
      </c>
    </row>
    <row r="74" spans="7:39" x14ac:dyDescent="0.25">
      <c r="H74" s="22">
        <f>SUM(H72:H73)</f>
        <v>351233.44555708091</v>
      </c>
      <c r="P74" s="22">
        <f>SUM(P72:P73)</f>
        <v>702466.89111416182</v>
      </c>
    </row>
    <row r="75" spans="7:39" x14ac:dyDescent="0.25">
      <c r="H75">
        <f>H74/H68</f>
        <v>61.472843509064838</v>
      </c>
      <c r="P75" s="19">
        <f>P74/P68</f>
        <v>61.472843509064838</v>
      </c>
    </row>
    <row r="97" spans="7:7" x14ac:dyDescent="0.25">
      <c r="G97" s="122"/>
    </row>
    <row r="100" spans="7:7" x14ac:dyDescent="0.25">
      <c r="G100" s="122"/>
    </row>
  </sheetData>
  <mergeCells count="8">
    <mergeCell ref="X1:Z1"/>
    <mergeCell ref="AB1:AD1"/>
    <mergeCell ref="AF1:AH1"/>
    <mergeCell ref="AJ1:AL1"/>
    <mergeCell ref="G1:I1"/>
    <mergeCell ref="K1:M1"/>
    <mergeCell ref="O1:Q1"/>
    <mergeCell ref="S1:U1"/>
  </mergeCells>
  <pageMargins left="0.7" right="0.7" top="0.75" bottom="0.75" header="0.3" footer="0.3"/>
  <pageSetup orientation="portrait" r:id="rId1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9"/>
  <dimension ref="A2:E44"/>
  <sheetViews>
    <sheetView workbookViewId="0">
      <selection activeCell="M12" sqref="M11:M12"/>
    </sheetView>
  </sheetViews>
  <sheetFormatPr defaultRowHeight="15" x14ac:dyDescent="0.25"/>
  <cols>
    <col min="1" max="1" width="33" style="19" bestFit="1" customWidth="1"/>
    <col min="2" max="2" width="11.5703125" style="19" bestFit="1" customWidth="1"/>
    <col min="3" max="3" width="11.5703125" style="21" bestFit="1" customWidth="1"/>
    <col min="4" max="16384" width="9.140625" style="19"/>
  </cols>
  <sheetData>
    <row r="2" spans="1:4" x14ac:dyDescent="0.25">
      <c r="A2" s="20" t="s">
        <v>930</v>
      </c>
      <c r="B2" s="19">
        <v>1.2</v>
      </c>
    </row>
    <row r="4" spans="1:4" x14ac:dyDescent="0.25">
      <c r="A4" s="19" t="s">
        <v>931</v>
      </c>
      <c r="B4" s="19">
        <v>886</v>
      </c>
    </row>
    <row r="8" spans="1:4" x14ac:dyDescent="0.25">
      <c r="A8" s="20" t="s">
        <v>0</v>
      </c>
      <c r="B8" s="40" t="s">
        <v>963</v>
      </c>
    </row>
    <row r="9" spans="1:4" x14ac:dyDescent="0.25">
      <c r="A9" s="19" t="s">
        <v>549</v>
      </c>
      <c r="B9" s="22">
        <v>43000000</v>
      </c>
      <c r="C9" s="21">
        <f>B9*0.53</f>
        <v>22790000</v>
      </c>
    </row>
    <row r="10" spans="1:4" x14ac:dyDescent="0.25">
      <c r="B10" s="22"/>
    </row>
    <row r="11" spans="1:4" x14ac:dyDescent="0.25">
      <c r="A11" s="19" t="s">
        <v>932</v>
      </c>
      <c r="B11" s="22">
        <f>B9*0.47</f>
        <v>20210000</v>
      </c>
    </row>
    <row r="12" spans="1:4" x14ac:dyDescent="0.25">
      <c r="A12" s="19" t="s">
        <v>933</v>
      </c>
      <c r="B12" s="22">
        <f>B9*0.53</f>
        <v>22790000</v>
      </c>
    </row>
    <row r="13" spans="1:4" x14ac:dyDescent="0.25">
      <c r="B13" s="22"/>
    </row>
    <row r="14" spans="1:4" x14ac:dyDescent="0.25">
      <c r="A14" s="19" t="s">
        <v>550</v>
      </c>
      <c r="B14" s="21">
        <f>B9*0.5058</f>
        <v>21749400</v>
      </c>
      <c r="C14" s="21">
        <f>B14*0.53</f>
        <v>11527182</v>
      </c>
      <c r="D14" s="289" t="s">
        <v>934</v>
      </c>
    </row>
    <row r="15" spans="1:4" x14ac:dyDescent="0.25">
      <c r="A15" s="19" t="s">
        <v>551</v>
      </c>
      <c r="B15" s="21">
        <f>B9-B14</f>
        <v>21250600</v>
      </c>
      <c r="C15" s="21">
        <f>B15*0.53</f>
        <v>11262818</v>
      </c>
      <c r="D15" s="289"/>
    </row>
    <row r="16" spans="1:4" x14ac:dyDescent="0.25">
      <c r="B16" s="21"/>
      <c r="D16" s="289"/>
    </row>
    <row r="17" spans="1:5" x14ac:dyDescent="0.25">
      <c r="A17" s="19" t="s">
        <v>555</v>
      </c>
      <c r="B17" s="21">
        <f>B15*48.9%</f>
        <v>10391543.4</v>
      </c>
      <c r="C17" s="21">
        <f>B17*0.53</f>
        <v>5507518.0020000003</v>
      </c>
      <c r="D17" s="289"/>
    </row>
    <row r="18" spans="1:5" x14ac:dyDescent="0.25">
      <c r="A18" s="19" t="s">
        <v>552</v>
      </c>
      <c r="B18" s="21">
        <f>B17*0.59</f>
        <v>6131010.6059999997</v>
      </c>
      <c r="C18" s="21">
        <f>B18*0.53</f>
        <v>3249435.6211799998</v>
      </c>
      <c r="D18" s="289"/>
      <c r="E18" s="41">
        <f>mwra/gpop</f>
        <v>0.14258164199999998</v>
      </c>
    </row>
    <row r="19" spans="1:5" x14ac:dyDescent="0.25">
      <c r="B19" s="21"/>
      <c r="D19" s="289"/>
    </row>
    <row r="20" spans="1:5" x14ac:dyDescent="0.25">
      <c r="A20" s="19" t="s">
        <v>553</v>
      </c>
      <c r="B20" s="21">
        <f>B9*0.142</f>
        <v>6105999.9999999991</v>
      </c>
      <c r="C20" s="21">
        <f>B20*0.53</f>
        <v>3236179.9999999995</v>
      </c>
      <c r="D20" s="289"/>
      <c r="E20" s="41">
        <f>upop/gpop</f>
        <v>0.14199999999999999</v>
      </c>
    </row>
    <row r="21" spans="1:5" x14ac:dyDescent="0.25">
      <c r="A21" s="19" t="s">
        <v>554</v>
      </c>
      <c r="B21" s="21">
        <f>B20*0.189</f>
        <v>1154033.9999999998</v>
      </c>
      <c r="C21" s="21">
        <f>B21*0.53</f>
        <v>611638.0199999999</v>
      </c>
      <c r="D21" s="289"/>
      <c r="E21" s="41">
        <f>C21/gpop</f>
        <v>2.6837999999999997E-2</v>
      </c>
    </row>
    <row r="22" spans="1:5" x14ac:dyDescent="0.25">
      <c r="D22" s="289"/>
    </row>
    <row r="23" spans="1:5" x14ac:dyDescent="0.25">
      <c r="A23" s="19" t="s">
        <v>556</v>
      </c>
      <c r="B23" s="21">
        <f>B9*(27.6/1000)</f>
        <v>1186800.0000000002</v>
      </c>
      <c r="C23" s="21">
        <f>B23*0.53</f>
        <v>629004.00000000012</v>
      </c>
      <c r="D23" s="289"/>
      <c r="E23" s="41">
        <f>C23/gpop</f>
        <v>2.7600000000000006E-2</v>
      </c>
    </row>
    <row r="24" spans="1:5" x14ac:dyDescent="0.25">
      <c r="B24" s="21"/>
    </row>
    <row r="25" spans="1:5" x14ac:dyDescent="0.25">
      <c r="A25" s="19" t="s">
        <v>935</v>
      </c>
      <c r="B25" s="21">
        <f>B9-B20</f>
        <v>36894000</v>
      </c>
      <c r="C25" s="21">
        <f>gpop-upop</f>
        <v>19553820</v>
      </c>
      <c r="E25" s="41">
        <f>apop/gpop</f>
        <v>0.85799999999999998</v>
      </c>
    </row>
    <row r="26" spans="1:5" x14ac:dyDescent="0.25">
      <c r="A26" s="19" t="s">
        <v>937</v>
      </c>
      <c r="B26" s="21">
        <f>B9*0.58</f>
        <v>24940000</v>
      </c>
      <c r="C26" s="21">
        <f>B26*0.53</f>
        <v>13218200</v>
      </c>
      <c r="E26" s="41">
        <f>a15pop/gpop</f>
        <v>0.57999999999999996</v>
      </c>
    </row>
    <row r="27" spans="1:5" x14ac:dyDescent="0.25">
      <c r="B27" s="21"/>
    </row>
    <row r="28" spans="1:5" x14ac:dyDescent="0.25">
      <c r="A28" s="19" t="s">
        <v>936</v>
      </c>
      <c r="B28" s="21">
        <f>B23*1.05</f>
        <v>1246140.0000000002</v>
      </c>
      <c r="C28" s="21">
        <f>C23*1.05</f>
        <v>660454.20000000019</v>
      </c>
      <c r="E28" s="41">
        <f>epreg/gpop</f>
        <v>2.8980000000000009E-2</v>
      </c>
    </row>
    <row r="29" spans="1:5" x14ac:dyDescent="0.25">
      <c r="B29" s="21"/>
    </row>
    <row r="30" spans="1:5" hidden="1" x14ac:dyDescent="0.25">
      <c r="A30" s="177" t="s">
        <v>557</v>
      </c>
      <c r="B30" s="178">
        <v>227</v>
      </c>
    </row>
    <row r="31" spans="1:5" hidden="1" x14ac:dyDescent="0.25">
      <c r="A31" s="177" t="s">
        <v>558</v>
      </c>
      <c r="B31" s="178">
        <v>23</v>
      </c>
    </row>
    <row r="32" spans="1:5" hidden="1" x14ac:dyDescent="0.25">
      <c r="A32" s="177" t="s">
        <v>559</v>
      </c>
      <c r="B32" s="178">
        <v>81</v>
      </c>
    </row>
    <row r="33" spans="1:5" hidden="1" x14ac:dyDescent="0.25">
      <c r="A33" s="177" t="s">
        <v>560</v>
      </c>
      <c r="B33" s="178">
        <v>97</v>
      </c>
    </row>
    <row r="34" spans="1:5" s="21" customFormat="1" hidden="1" x14ac:dyDescent="0.25">
      <c r="A34" s="177"/>
      <c r="B34" s="178"/>
      <c r="D34" s="19"/>
      <c r="E34" s="19"/>
    </row>
    <row r="35" spans="1:5" s="21" customFormat="1" hidden="1" x14ac:dyDescent="0.25">
      <c r="A35" s="177"/>
      <c r="B35" s="178"/>
      <c r="D35" s="19"/>
      <c r="E35" s="19"/>
    </row>
    <row r="36" spans="1:5" s="21" customFormat="1" hidden="1" x14ac:dyDescent="0.25">
      <c r="A36" s="177" t="s">
        <v>561</v>
      </c>
      <c r="B36" s="178">
        <f>(B23*B30)/100000</f>
        <v>2694.0360000000005</v>
      </c>
      <c r="D36" s="19"/>
      <c r="E36" s="19"/>
    </row>
    <row r="37" spans="1:5" s="21" customFormat="1" hidden="1" x14ac:dyDescent="0.25">
      <c r="A37" s="177" t="s">
        <v>562</v>
      </c>
      <c r="B37" s="178">
        <f>(B23*B32)/1000</f>
        <v>96130.800000000017</v>
      </c>
      <c r="D37" s="19"/>
      <c r="E37" s="19"/>
    </row>
    <row r="38" spans="1:5" s="21" customFormat="1" hidden="1" x14ac:dyDescent="0.25">
      <c r="A38" s="177" t="s">
        <v>563</v>
      </c>
      <c r="B38" s="178">
        <f>(B31*B23)/1000</f>
        <v>27296.400000000005</v>
      </c>
      <c r="D38" s="19"/>
      <c r="E38" s="19"/>
    </row>
    <row r="39" spans="1:5" s="21" customFormat="1" hidden="1" x14ac:dyDescent="0.25">
      <c r="A39" s="177" t="s">
        <v>564</v>
      </c>
      <c r="B39" s="178">
        <f>(B33*B23)/1000</f>
        <v>115119.60000000003</v>
      </c>
      <c r="D39" s="19"/>
      <c r="E39" s="19"/>
    </row>
    <row r="40" spans="1:5" hidden="1" x14ac:dyDescent="0.25"/>
    <row r="41" spans="1:5" hidden="1" x14ac:dyDescent="0.25"/>
    <row r="42" spans="1:5" hidden="1" x14ac:dyDescent="0.25"/>
    <row r="44" spans="1:5" s="21" customFormat="1" x14ac:dyDescent="0.25">
      <c r="A44" s="19" t="s">
        <v>948</v>
      </c>
      <c r="B44" s="35">
        <f>B12/HFN</f>
        <v>25722.347629796841</v>
      </c>
      <c r="D44" s="19"/>
      <c r="E44" s="19"/>
    </row>
  </sheetData>
  <mergeCells count="1">
    <mergeCell ref="D14:D2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G30"/>
  <sheetViews>
    <sheetView workbookViewId="0">
      <selection activeCell="C19" sqref="C19"/>
    </sheetView>
  </sheetViews>
  <sheetFormatPr defaultRowHeight="15" x14ac:dyDescent="0.25"/>
  <cols>
    <col min="1" max="1" width="9.140625" style="19"/>
    <col min="2" max="2" width="39.85546875" style="19" bestFit="1" customWidth="1"/>
    <col min="3" max="3" width="19.140625" style="19" bestFit="1" customWidth="1"/>
    <col min="4" max="7" width="16" style="19" bestFit="1" customWidth="1"/>
    <col min="8" max="16384" width="9.140625" style="19"/>
  </cols>
  <sheetData>
    <row r="3" spans="2:7" ht="18.75" x14ac:dyDescent="0.25">
      <c r="B3" s="54" t="s">
        <v>647</v>
      </c>
      <c r="C3" s="55">
        <f>pop_1</f>
        <v>10000</v>
      </c>
      <c r="D3" s="55">
        <f>pop_2</f>
        <v>15000</v>
      </c>
      <c r="E3" s="55">
        <f>pop_3</f>
        <v>20000</v>
      </c>
      <c r="F3" s="55">
        <f>Pop_4</f>
        <v>25000</v>
      </c>
      <c r="G3" s="55" t="e">
        <f>pop_5</f>
        <v>#REF!</v>
      </c>
    </row>
    <row r="5" spans="2:7" x14ac:dyDescent="0.25">
      <c r="B5" s="19" t="s">
        <v>595</v>
      </c>
      <c r="C5" s="21">
        <f>BHU_Cost!C6</f>
        <v>2605497.2999999998</v>
      </c>
      <c r="D5" s="21">
        <f>BHU_Cost!D6</f>
        <v>2605497.2999999998</v>
      </c>
      <c r="E5" s="21">
        <f>BHU_Cost!E6</f>
        <v>2605497.2999999998</v>
      </c>
      <c r="F5" s="21">
        <f>BHU_Cost!F6</f>
        <v>2605497.2999999998</v>
      </c>
      <c r="G5" s="21" t="e">
        <f>BHU_Cost!#REF!</f>
        <v>#REF!</v>
      </c>
    </row>
    <row r="6" spans="2:7" x14ac:dyDescent="0.25">
      <c r="B6" s="19" t="s">
        <v>643</v>
      </c>
      <c r="C6" s="19">
        <f>BHU_Cost!C9-Operating_Exp!$D$14</f>
        <v>257924.17460317462</v>
      </c>
      <c r="D6" s="19">
        <f>BHU_Cost!D9-Operating_Exp!$D$14</f>
        <v>263924.17460317462</v>
      </c>
      <c r="E6" s="19">
        <f>BHU_Cost!E9-Operating_Exp!$D$14</f>
        <v>269924.17460317462</v>
      </c>
      <c r="F6" s="19">
        <f>BHU_Cost!F9-Operating_Exp!$D$14</f>
        <v>275924.17460317462</v>
      </c>
      <c r="G6" s="19" t="e">
        <f>BHU_Cost!#REF!-Operating_Exp!$D$14</f>
        <v>#REF!</v>
      </c>
    </row>
    <row r="7" spans="2:7" x14ac:dyDescent="0.25">
      <c r="B7" s="19" t="s">
        <v>763</v>
      </c>
      <c r="C7" s="22">
        <f>SUM(C5:C6)</f>
        <v>2863421.4746031743</v>
      </c>
      <c r="D7" s="22">
        <f t="shared" ref="D7:G7" si="0">SUM(D5:D6)</f>
        <v>2869421.4746031743</v>
      </c>
      <c r="E7" s="22">
        <f t="shared" si="0"/>
        <v>2875421.4746031743</v>
      </c>
      <c r="F7" s="22">
        <f t="shared" si="0"/>
        <v>2881421.4746031743</v>
      </c>
      <c r="G7" s="22" t="e">
        <f t="shared" si="0"/>
        <v>#REF!</v>
      </c>
    </row>
    <row r="9" spans="2:7" x14ac:dyDescent="0.25">
      <c r="B9" s="19" t="s">
        <v>767</v>
      </c>
      <c r="C9" s="21">
        <f>Summary_Intervention!$F$5</f>
        <v>505.85560000000009</v>
      </c>
      <c r="D9" s="21">
        <f>Summary_Intervention!$F$5</f>
        <v>505.85560000000009</v>
      </c>
      <c r="E9" s="21">
        <f>Summary_Intervention!$F$5</f>
        <v>505.85560000000009</v>
      </c>
      <c r="F9" s="21">
        <f>Summary_Intervention!$F$5</f>
        <v>505.85560000000009</v>
      </c>
      <c r="G9" s="21">
        <f>Summary_Intervention!$F$5</f>
        <v>505.85560000000009</v>
      </c>
    </row>
    <row r="10" spans="2:7" x14ac:dyDescent="0.25">
      <c r="B10" s="19" t="s">
        <v>768</v>
      </c>
      <c r="C10" s="21">
        <f>Summary_Intervention!$F$7</f>
        <v>182.98320000000001</v>
      </c>
      <c r="D10" s="21">
        <f>Summary_Intervention!$F$7</f>
        <v>182.98320000000001</v>
      </c>
      <c r="E10" s="21">
        <f>Summary_Intervention!$F$7</f>
        <v>182.98320000000001</v>
      </c>
      <c r="F10" s="21">
        <f>Summary_Intervention!$F$7</f>
        <v>182.98320000000001</v>
      </c>
      <c r="G10" s="21">
        <f>Summary_Intervention!$F$7</f>
        <v>182.98320000000001</v>
      </c>
    </row>
    <row r="11" spans="2:7" x14ac:dyDescent="0.25">
      <c r="B11" s="19" t="s">
        <v>766</v>
      </c>
      <c r="C11" s="21">
        <f>Summary_Intervention!$F$6</f>
        <v>189.34744444444442</v>
      </c>
      <c r="D11" s="21">
        <f>Summary_Intervention!$F$6</f>
        <v>189.34744444444442</v>
      </c>
      <c r="E11" s="21">
        <f>Summary_Intervention!$F$6</f>
        <v>189.34744444444442</v>
      </c>
      <c r="F11" s="21">
        <f>Summary_Intervention!$F$6</f>
        <v>189.34744444444442</v>
      </c>
      <c r="G11" s="21">
        <f>Summary_Intervention!$F$6</f>
        <v>189.34744444444442</v>
      </c>
    </row>
    <row r="12" spans="2:7" x14ac:dyDescent="0.25">
      <c r="B12" s="19" t="s">
        <v>769</v>
      </c>
      <c r="C12" s="21">
        <f>Summary_Intervention!$E$8</f>
        <v>117.62465625</v>
      </c>
      <c r="D12" s="21">
        <f>Summary_Intervention!$E$8</f>
        <v>117.62465625</v>
      </c>
      <c r="E12" s="21">
        <f>Summary_Intervention!$E$8</f>
        <v>117.62465625</v>
      </c>
      <c r="F12" s="21">
        <f>Summary_Intervention!$E$8</f>
        <v>117.62465625</v>
      </c>
      <c r="G12" s="21">
        <f>Summary_Intervention!$E$8</f>
        <v>117.62465625</v>
      </c>
    </row>
    <row r="13" spans="2:7" x14ac:dyDescent="0.25">
      <c r="B13" s="19" t="s">
        <v>770</v>
      </c>
      <c r="C13" s="21">
        <f>Summary_Intervention!$E$9</f>
        <v>160.60228125</v>
      </c>
      <c r="D13" s="21">
        <f>Summary_Intervention!$E$9</f>
        <v>160.60228125</v>
      </c>
      <c r="E13" s="21">
        <f>Summary_Intervention!$E$9</f>
        <v>160.60228125</v>
      </c>
      <c r="F13" s="21">
        <f>Summary_Intervention!$E$9</f>
        <v>160.60228125</v>
      </c>
      <c r="G13" s="21">
        <f>Summary_Intervention!$E$9</f>
        <v>160.60228125</v>
      </c>
    </row>
    <row r="14" spans="2:7" x14ac:dyDescent="0.25">
      <c r="B14" s="19" t="s">
        <v>771</v>
      </c>
      <c r="C14" s="21">
        <f>Summary_Intervention!$E$10</f>
        <v>84.749156249999999</v>
      </c>
      <c r="D14" s="21">
        <f>Summary_Intervention!$E$10</f>
        <v>84.749156249999999</v>
      </c>
      <c r="E14" s="21">
        <f>Summary_Intervention!$E$10</f>
        <v>84.749156249999999</v>
      </c>
      <c r="F14" s="21">
        <f>Summary_Intervention!$E$10</f>
        <v>84.749156249999999</v>
      </c>
      <c r="G14" s="21">
        <f>Summary_Intervention!$E$10</f>
        <v>84.749156249999999</v>
      </c>
    </row>
    <row r="15" spans="2:7" x14ac:dyDescent="0.25">
      <c r="B15" s="19" t="s">
        <v>772</v>
      </c>
      <c r="C15" s="21">
        <f>Summary_Intervention!$E$11</f>
        <v>84.749156249999999</v>
      </c>
      <c r="D15" s="21">
        <f>Summary_Intervention!$E$11</f>
        <v>84.749156249999999</v>
      </c>
      <c r="E15" s="21">
        <f>Summary_Intervention!$E$11</f>
        <v>84.749156249999999</v>
      </c>
      <c r="F15" s="21">
        <f>Summary_Intervention!$E$11</f>
        <v>84.749156249999999</v>
      </c>
      <c r="G15" s="21">
        <f>Summary_Intervention!$E$11</f>
        <v>84.749156249999999</v>
      </c>
    </row>
    <row r="16" spans="2:7" x14ac:dyDescent="0.25">
      <c r="B16" s="19" t="s">
        <v>773</v>
      </c>
      <c r="C16" s="21">
        <f>(Summary_Intervention!$F$12+Summary_Intervention!$F$13)/2</f>
        <v>55.18526</v>
      </c>
      <c r="D16" s="21">
        <f>(Summary_Intervention!$F$12+Summary_Intervention!$F$13)/2</f>
        <v>55.18526</v>
      </c>
      <c r="E16" s="21">
        <f>(Summary_Intervention!$F$12+Summary_Intervention!$F$13)/2</f>
        <v>55.18526</v>
      </c>
      <c r="F16" s="21">
        <f>(Summary_Intervention!$F$12+Summary_Intervention!$F$13)/2</f>
        <v>55.18526</v>
      </c>
      <c r="G16" s="21">
        <f>(Summary_Intervention!$F$12+Summary_Intervention!$F$13)/2</f>
        <v>55.18526</v>
      </c>
    </row>
    <row r="17" spans="2:7" x14ac:dyDescent="0.25">
      <c r="B17" s="19" t="s">
        <v>774</v>
      </c>
      <c r="C17" s="21">
        <f>Summary_Intervention!$F$14</f>
        <v>20.88</v>
      </c>
      <c r="D17" s="21">
        <f>Summary_Intervention!$F$14</f>
        <v>20.88</v>
      </c>
      <c r="E17" s="21">
        <f>Summary_Intervention!$F$14</f>
        <v>20.88</v>
      </c>
      <c r="F17" s="21">
        <f>Summary_Intervention!$F$14</f>
        <v>20.88</v>
      </c>
      <c r="G17" s="21">
        <f>Summary_Intervention!$F$14</f>
        <v>20.88</v>
      </c>
    </row>
    <row r="18" spans="2:7" x14ac:dyDescent="0.25">
      <c r="B18" s="19" t="s">
        <v>775</v>
      </c>
      <c r="C18" s="21">
        <f>Summary_Intervention!$F$15</f>
        <v>7.7549999999999999</v>
      </c>
      <c r="D18" s="21">
        <f>Summary_Intervention!$F$15</f>
        <v>7.7549999999999999</v>
      </c>
      <c r="E18" s="21">
        <f>Summary_Intervention!$F$15</f>
        <v>7.7549999999999999</v>
      </c>
      <c r="F18" s="21">
        <f>Summary_Intervention!$F$15</f>
        <v>7.7549999999999999</v>
      </c>
      <c r="G18" s="21">
        <f>Summary_Intervention!$F$15</f>
        <v>7.7549999999999999</v>
      </c>
    </row>
    <row r="19" spans="2:7" x14ac:dyDescent="0.25">
      <c r="B19" s="19" t="s">
        <v>776</v>
      </c>
    </row>
    <row r="22" spans="2:7" x14ac:dyDescent="0.25">
      <c r="B22" s="19" t="s">
        <v>761</v>
      </c>
    </row>
    <row r="23" spans="2:7" x14ac:dyDescent="0.25">
      <c r="B23" s="19" t="s">
        <v>762</v>
      </c>
    </row>
    <row r="26" spans="2:7" x14ac:dyDescent="0.25">
      <c r="B26" s="19" t="s">
        <v>763</v>
      </c>
      <c r="C26" s="22">
        <f>C5</f>
        <v>2605497.2999999998</v>
      </c>
      <c r="D26" s="22">
        <f t="shared" ref="D26:G26" si="1">D5</f>
        <v>2605497.2999999998</v>
      </c>
      <c r="E26" s="22">
        <f t="shared" si="1"/>
        <v>2605497.2999999998</v>
      </c>
      <c r="F26" s="22">
        <f t="shared" si="1"/>
        <v>2605497.2999999998</v>
      </c>
      <c r="G26" s="22" t="e">
        <f t="shared" si="1"/>
        <v>#REF!</v>
      </c>
    </row>
    <row r="27" spans="2:7" x14ac:dyDescent="0.25">
      <c r="B27" s="19" t="s">
        <v>764</v>
      </c>
      <c r="C27" s="19">
        <f t="shared" ref="C27:G28" si="2">C9*C22</f>
        <v>0</v>
      </c>
      <c r="D27" s="19">
        <f t="shared" si="2"/>
        <v>0</v>
      </c>
      <c r="E27" s="19">
        <f t="shared" si="2"/>
        <v>0</v>
      </c>
      <c r="F27" s="19">
        <f t="shared" si="2"/>
        <v>0</v>
      </c>
      <c r="G27" s="19">
        <f t="shared" si="2"/>
        <v>0</v>
      </c>
    </row>
    <row r="28" spans="2:7" x14ac:dyDescent="0.25">
      <c r="B28" s="19" t="s">
        <v>765</v>
      </c>
      <c r="C28" s="19">
        <f t="shared" si="2"/>
        <v>0</v>
      </c>
      <c r="D28" s="19">
        <f t="shared" si="2"/>
        <v>0</v>
      </c>
      <c r="E28" s="19">
        <f t="shared" si="2"/>
        <v>0</v>
      </c>
      <c r="F28" s="19">
        <f t="shared" si="2"/>
        <v>0</v>
      </c>
      <c r="G28" s="19">
        <f t="shared" si="2"/>
        <v>0</v>
      </c>
    </row>
    <row r="30" spans="2:7" x14ac:dyDescent="0.25">
      <c r="B30" s="19" t="s">
        <v>8</v>
      </c>
      <c r="C30" s="22">
        <f>SUM(C26:C28)</f>
        <v>2605497.2999999998</v>
      </c>
      <c r="D30" s="22">
        <f t="shared" ref="D30:G30" si="3">SUM(D26:D28)</f>
        <v>2605497.2999999998</v>
      </c>
      <c r="E30" s="22">
        <f t="shared" si="3"/>
        <v>2605497.2999999998</v>
      </c>
      <c r="F30" s="22">
        <f t="shared" si="3"/>
        <v>2605497.2999999998</v>
      </c>
      <c r="G30" s="22" t="e">
        <f t="shared" si="3"/>
        <v>#REF!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2:R189"/>
  <sheetViews>
    <sheetView showGridLines="0" zoomScale="115" zoomScaleNormal="115" workbookViewId="0">
      <selection activeCell="Z25" sqref="Z25"/>
    </sheetView>
  </sheetViews>
  <sheetFormatPr defaultColWidth="9.140625" defaultRowHeight="15" customHeight="1" x14ac:dyDescent="0.25"/>
  <cols>
    <col min="1" max="1" width="3.5703125" style="114" customWidth="1"/>
    <col min="2" max="2" width="44.140625" style="114" customWidth="1"/>
    <col min="3" max="3" width="3.42578125" style="114" hidden="1" customWidth="1"/>
    <col min="4" max="4" width="3" style="114" customWidth="1"/>
    <col min="5" max="5" width="10.7109375" style="114" bestFit="1" customWidth="1"/>
    <col min="6" max="6" width="13.140625" style="114" bestFit="1" customWidth="1"/>
    <col min="7" max="7" width="5.140625" style="114" hidden="1" customWidth="1"/>
    <col min="8" max="8" width="13" style="114" customWidth="1"/>
    <col min="9" max="9" width="5.42578125" style="114" hidden="1" customWidth="1"/>
    <col min="10" max="10" width="5.85546875" style="114" hidden="1" customWidth="1"/>
    <col min="11" max="11" width="11.140625" style="114" hidden="1" customWidth="1"/>
    <col min="12" max="12" width="12.7109375" style="114" customWidth="1"/>
    <col min="13" max="14" width="12.28515625" style="114" hidden="1" customWidth="1"/>
    <col min="15" max="15" width="8.28515625" style="114" hidden="1" customWidth="1"/>
    <col min="16" max="16" width="12.85546875" style="114" customWidth="1"/>
    <col min="17" max="18" width="9.28515625" style="114" hidden="1" customWidth="1"/>
    <col min="19" max="258" width="9.140625" style="114"/>
    <col min="259" max="259" width="3.5703125" style="114" customWidth="1"/>
    <col min="260" max="260" width="52.42578125" style="114" customWidth="1"/>
    <col min="261" max="261" width="22.7109375" style="114" customWidth="1"/>
    <col min="262" max="262" width="3.42578125" style="114" customWidth="1"/>
    <col min="263" max="263" width="3" style="114" customWidth="1"/>
    <col min="264" max="267" width="9.140625" style="114" customWidth="1"/>
    <col min="268" max="269" width="10.5703125" style="114" customWidth="1"/>
    <col min="270" max="270" width="9.140625" style="114" customWidth="1"/>
    <col min="271" max="271" width="12.42578125" style="114" customWidth="1"/>
    <col min="272" max="272" width="9.140625" style="114" customWidth="1"/>
    <col min="273" max="273" width="10.5703125" style="114" customWidth="1"/>
    <col min="274" max="274" width="9.140625" style="114" customWidth="1"/>
    <col min="275" max="514" width="9.140625" style="114"/>
    <col min="515" max="515" width="3.5703125" style="114" customWidth="1"/>
    <col min="516" max="516" width="52.42578125" style="114" customWidth="1"/>
    <col min="517" max="517" width="22.7109375" style="114" customWidth="1"/>
    <col min="518" max="518" width="3.42578125" style="114" customWidth="1"/>
    <col min="519" max="519" width="3" style="114" customWidth="1"/>
    <col min="520" max="523" width="9.140625" style="114" customWidth="1"/>
    <col min="524" max="525" width="10.5703125" style="114" customWidth="1"/>
    <col min="526" max="526" width="9.140625" style="114" customWidth="1"/>
    <col min="527" max="527" width="12.42578125" style="114" customWidth="1"/>
    <col min="528" max="528" width="9.140625" style="114" customWidth="1"/>
    <col min="529" max="529" width="10.5703125" style="114" customWidth="1"/>
    <col min="530" max="530" width="9.140625" style="114" customWidth="1"/>
    <col min="531" max="770" width="9.140625" style="114"/>
    <col min="771" max="771" width="3.5703125" style="114" customWidth="1"/>
    <col min="772" max="772" width="52.42578125" style="114" customWidth="1"/>
    <col min="773" max="773" width="22.7109375" style="114" customWidth="1"/>
    <col min="774" max="774" width="3.42578125" style="114" customWidth="1"/>
    <col min="775" max="775" width="3" style="114" customWidth="1"/>
    <col min="776" max="779" width="9.140625" style="114" customWidth="1"/>
    <col min="780" max="781" width="10.5703125" style="114" customWidth="1"/>
    <col min="782" max="782" width="9.140625" style="114" customWidth="1"/>
    <col min="783" max="783" width="12.42578125" style="114" customWidth="1"/>
    <col min="784" max="784" width="9.140625" style="114" customWidth="1"/>
    <col min="785" max="785" width="10.5703125" style="114" customWidth="1"/>
    <col min="786" max="786" width="9.140625" style="114" customWidth="1"/>
    <col min="787" max="1026" width="9.140625" style="114"/>
    <col min="1027" max="1027" width="3.5703125" style="114" customWidth="1"/>
    <col min="1028" max="1028" width="52.42578125" style="114" customWidth="1"/>
    <col min="1029" max="1029" width="22.7109375" style="114" customWidth="1"/>
    <col min="1030" max="1030" width="3.42578125" style="114" customWidth="1"/>
    <col min="1031" max="1031" width="3" style="114" customWidth="1"/>
    <col min="1032" max="1035" width="9.140625" style="114" customWidth="1"/>
    <col min="1036" max="1037" width="10.5703125" style="114" customWidth="1"/>
    <col min="1038" max="1038" width="9.140625" style="114" customWidth="1"/>
    <col min="1039" max="1039" width="12.42578125" style="114" customWidth="1"/>
    <col min="1040" max="1040" width="9.140625" style="114" customWidth="1"/>
    <col min="1041" max="1041" width="10.5703125" style="114" customWidth="1"/>
    <col min="1042" max="1042" width="9.140625" style="114" customWidth="1"/>
    <col min="1043" max="1282" width="9.140625" style="114"/>
    <col min="1283" max="1283" width="3.5703125" style="114" customWidth="1"/>
    <col min="1284" max="1284" width="52.42578125" style="114" customWidth="1"/>
    <col min="1285" max="1285" width="22.7109375" style="114" customWidth="1"/>
    <col min="1286" max="1286" width="3.42578125" style="114" customWidth="1"/>
    <col min="1287" max="1287" width="3" style="114" customWidth="1"/>
    <col min="1288" max="1291" width="9.140625" style="114" customWidth="1"/>
    <col min="1292" max="1293" width="10.5703125" style="114" customWidth="1"/>
    <col min="1294" max="1294" width="9.140625" style="114" customWidth="1"/>
    <col min="1295" max="1295" width="12.42578125" style="114" customWidth="1"/>
    <col min="1296" max="1296" width="9.140625" style="114" customWidth="1"/>
    <col min="1297" max="1297" width="10.5703125" style="114" customWidth="1"/>
    <col min="1298" max="1298" width="9.140625" style="114" customWidth="1"/>
    <col min="1299" max="1538" width="9.140625" style="114"/>
    <col min="1539" max="1539" width="3.5703125" style="114" customWidth="1"/>
    <col min="1540" max="1540" width="52.42578125" style="114" customWidth="1"/>
    <col min="1541" max="1541" width="22.7109375" style="114" customWidth="1"/>
    <col min="1542" max="1542" width="3.42578125" style="114" customWidth="1"/>
    <col min="1543" max="1543" width="3" style="114" customWidth="1"/>
    <col min="1544" max="1547" width="9.140625" style="114" customWidth="1"/>
    <col min="1548" max="1549" width="10.5703125" style="114" customWidth="1"/>
    <col min="1550" max="1550" width="9.140625" style="114" customWidth="1"/>
    <col min="1551" max="1551" width="12.42578125" style="114" customWidth="1"/>
    <col min="1552" max="1552" width="9.140625" style="114" customWidth="1"/>
    <col min="1553" max="1553" width="10.5703125" style="114" customWidth="1"/>
    <col min="1554" max="1554" width="9.140625" style="114" customWidth="1"/>
    <col min="1555" max="1794" width="9.140625" style="114"/>
    <col min="1795" max="1795" width="3.5703125" style="114" customWidth="1"/>
    <col min="1796" max="1796" width="52.42578125" style="114" customWidth="1"/>
    <col min="1797" max="1797" width="22.7109375" style="114" customWidth="1"/>
    <col min="1798" max="1798" width="3.42578125" style="114" customWidth="1"/>
    <col min="1799" max="1799" width="3" style="114" customWidth="1"/>
    <col min="1800" max="1803" width="9.140625" style="114" customWidth="1"/>
    <col min="1804" max="1805" width="10.5703125" style="114" customWidth="1"/>
    <col min="1806" max="1806" width="9.140625" style="114" customWidth="1"/>
    <col min="1807" max="1807" width="12.42578125" style="114" customWidth="1"/>
    <col min="1808" max="1808" width="9.140625" style="114" customWidth="1"/>
    <col min="1809" max="1809" width="10.5703125" style="114" customWidth="1"/>
    <col min="1810" max="1810" width="9.140625" style="114" customWidth="1"/>
    <col min="1811" max="2050" width="9.140625" style="114"/>
    <col min="2051" max="2051" width="3.5703125" style="114" customWidth="1"/>
    <col min="2052" max="2052" width="52.42578125" style="114" customWidth="1"/>
    <col min="2053" max="2053" width="22.7109375" style="114" customWidth="1"/>
    <col min="2054" max="2054" width="3.42578125" style="114" customWidth="1"/>
    <col min="2055" max="2055" width="3" style="114" customWidth="1"/>
    <col min="2056" max="2059" width="9.140625" style="114" customWidth="1"/>
    <col min="2060" max="2061" width="10.5703125" style="114" customWidth="1"/>
    <col min="2062" max="2062" width="9.140625" style="114" customWidth="1"/>
    <col min="2063" max="2063" width="12.42578125" style="114" customWidth="1"/>
    <col min="2064" max="2064" width="9.140625" style="114" customWidth="1"/>
    <col min="2065" max="2065" width="10.5703125" style="114" customWidth="1"/>
    <col min="2066" max="2066" width="9.140625" style="114" customWidth="1"/>
    <col min="2067" max="2306" width="9.140625" style="114"/>
    <col min="2307" max="2307" width="3.5703125" style="114" customWidth="1"/>
    <col min="2308" max="2308" width="52.42578125" style="114" customWidth="1"/>
    <col min="2309" max="2309" width="22.7109375" style="114" customWidth="1"/>
    <col min="2310" max="2310" width="3.42578125" style="114" customWidth="1"/>
    <col min="2311" max="2311" width="3" style="114" customWidth="1"/>
    <col min="2312" max="2315" width="9.140625" style="114" customWidth="1"/>
    <col min="2316" max="2317" width="10.5703125" style="114" customWidth="1"/>
    <col min="2318" max="2318" width="9.140625" style="114" customWidth="1"/>
    <col min="2319" max="2319" width="12.42578125" style="114" customWidth="1"/>
    <col min="2320" max="2320" width="9.140625" style="114" customWidth="1"/>
    <col min="2321" max="2321" width="10.5703125" style="114" customWidth="1"/>
    <col min="2322" max="2322" width="9.140625" style="114" customWidth="1"/>
    <col min="2323" max="2562" width="9.140625" style="114"/>
    <col min="2563" max="2563" width="3.5703125" style="114" customWidth="1"/>
    <col min="2564" max="2564" width="52.42578125" style="114" customWidth="1"/>
    <col min="2565" max="2565" width="22.7109375" style="114" customWidth="1"/>
    <col min="2566" max="2566" width="3.42578125" style="114" customWidth="1"/>
    <col min="2567" max="2567" width="3" style="114" customWidth="1"/>
    <col min="2568" max="2571" width="9.140625" style="114" customWidth="1"/>
    <col min="2572" max="2573" width="10.5703125" style="114" customWidth="1"/>
    <col min="2574" max="2574" width="9.140625" style="114" customWidth="1"/>
    <col min="2575" max="2575" width="12.42578125" style="114" customWidth="1"/>
    <col min="2576" max="2576" width="9.140625" style="114" customWidth="1"/>
    <col min="2577" max="2577" width="10.5703125" style="114" customWidth="1"/>
    <col min="2578" max="2578" width="9.140625" style="114" customWidth="1"/>
    <col min="2579" max="2818" width="9.140625" style="114"/>
    <col min="2819" max="2819" width="3.5703125" style="114" customWidth="1"/>
    <col min="2820" max="2820" width="52.42578125" style="114" customWidth="1"/>
    <col min="2821" max="2821" width="22.7109375" style="114" customWidth="1"/>
    <col min="2822" max="2822" width="3.42578125" style="114" customWidth="1"/>
    <col min="2823" max="2823" width="3" style="114" customWidth="1"/>
    <col min="2824" max="2827" width="9.140625" style="114" customWidth="1"/>
    <col min="2828" max="2829" width="10.5703125" style="114" customWidth="1"/>
    <col min="2830" max="2830" width="9.140625" style="114" customWidth="1"/>
    <col min="2831" max="2831" width="12.42578125" style="114" customWidth="1"/>
    <col min="2832" max="2832" width="9.140625" style="114" customWidth="1"/>
    <col min="2833" max="2833" width="10.5703125" style="114" customWidth="1"/>
    <col min="2834" max="2834" width="9.140625" style="114" customWidth="1"/>
    <col min="2835" max="3074" width="9.140625" style="114"/>
    <col min="3075" max="3075" width="3.5703125" style="114" customWidth="1"/>
    <col min="3076" max="3076" width="52.42578125" style="114" customWidth="1"/>
    <col min="3077" max="3077" width="22.7109375" style="114" customWidth="1"/>
    <col min="3078" max="3078" width="3.42578125" style="114" customWidth="1"/>
    <col min="3079" max="3079" width="3" style="114" customWidth="1"/>
    <col min="3080" max="3083" width="9.140625" style="114" customWidth="1"/>
    <col min="3084" max="3085" width="10.5703125" style="114" customWidth="1"/>
    <col min="3086" max="3086" width="9.140625" style="114" customWidth="1"/>
    <col min="3087" max="3087" width="12.42578125" style="114" customWidth="1"/>
    <col min="3088" max="3088" width="9.140625" style="114" customWidth="1"/>
    <col min="3089" max="3089" width="10.5703125" style="114" customWidth="1"/>
    <col min="3090" max="3090" width="9.140625" style="114" customWidth="1"/>
    <col min="3091" max="3330" width="9.140625" style="114"/>
    <col min="3331" max="3331" width="3.5703125" style="114" customWidth="1"/>
    <col min="3332" max="3332" width="52.42578125" style="114" customWidth="1"/>
    <col min="3333" max="3333" width="22.7109375" style="114" customWidth="1"/>
    <col min="3334" max="3334" width="3.42578125" style="114" customWidth="1"/>
    <col min="3335" max="3335" width="3" style="114" customWidth="1"/>
    <col min="3336" max="3339" width="9.140625" style="114" customWidth="1"/>
    <col min="3340" max="3341" width="10.5703125" style="114" customWidth="1"/>
    <col min="3342" max="3342" width="9.140625" style="114" customWidth="1"/>
    <col min="3343" max="3343" width="12.42578125" style="114" customWidth="1"/>
    <col min="3344" max="3344" width="9.140625" style="114" customWidth="1"/>
    <col min="3345" max="3345" width="10.5703125" style="114" customWidth="1"/>
    <col min="3346" max="3346" width="9.140625" style="114" customWidth="1"/>
    <col min="3347" max="3586" width="9.140625" style="114"/>
    <col min="3587" max="3587" width="3.5703125" style="114" customWidth="1"/>
    <col min="3588" max="3588" width="52.42578125" style="114" customWidth="1"/>
    <col min="3589" max="3589" width="22.7109375" style="114" customWidth="1"/>
    <col min="3590" max="3590" width="3.42578125" style="114" customWidth="1"/>
    <col min="3591" max="3591" width="3" style="114" customWidth="1"/>
    <col min="3592" max="3595" width="9.140625" style="114" customWidth="1"/>
    <col min="3596" max="3597" width="10.5703125" style="114" customWidth="1"/>
    <col min="3598" max="3598" width="9.140625" style="114" customWidth="1"/>
    <col min="3599" max="3599" width="12.42578125" style="114" customWidth="1"/>
    <col min="3600" max="3600" width="9.140625" style="114" customWidth="1"/>
    <col min="3601" max="3601" width="10.5703125" style="114" customWidth="1"/>
    <col min="3602" max="3602" width="9.140625" style="114" customWidth="1"/>
    <col min="3603" max="3842" width="9.140625" style="114"/>
    <col min="3843" max="3843" width="3.5703125" style="114" customWidth="1"/>
    <col min="3844" max="3844" width="52.42578125" style="114" customWidth="1"/>
    <col min="3845" max="3845" width="22.7109375" style="114" customWidth="1"/>
    <col min="3846" max="3846" width="3.42578125" style="114" customWidth="1"/>
    <col min="3847" max="3847" width="3" style="114" customWidth="1"/>
    <col min="3848" max="3851" width="9.140625" style="114" customWidth="1"/>
    <col min="3852" max="3853" width="10.5703125" style="114" customWidth="1"/>
    <col min="3854" max="3854" width="9.140625" style="114" customWidth="1"/>
    <col min="3855" max="3855" width="12.42578125" style="114" customWidth="1"/>
    <col min="3856" max="3856" width="9.140625" style="114" customWidth="1"/>
    <col min="3857" max="3857" width="10.5703125" style="114" customWidth="1"/>
    <col min="3858" max="3858" width="9.140625" style="114" customWidth="1"/>
    <col min="3859" max="4098" width="9.140625" style="114"/>
    <col min="4099" max="4099" width="3.5703125" style="114" customWidth="1"/>
    <col min="4100" max="4100" width="52.42578125" style="114" customWidth="1"/>
    <col min="4101" max="4101" width="22.7109375" style="114" customWidth="1"/>
    <col min="4102" max="4102" width="3.42578125" style="114" customWidth="1"/>
    <col min="4103" max="4103" width="3" style="114" customWidth="1"/>
    <col min="4104" max="4107" width="9.140625" style="114" customWidth="1"/>
    <col min="4108" max="4109" width="10.5703125" style="114" customWidth="1"/>
    <col min="4110" max="4110" width="9.140625" style="114" customWidth="1"/>
    <col min="4111" max="4111" width="12.42578125" style="114" customWidth="1"/>
    <col min="4112" max="4112" width="9.140625" style="114" customWidth="1"/>
    <col min="4113" max="4113" width="10.5703125" style="114" customWidth="1"/>
    <col min="4114" max="4114" width="9.140625" style="114" customWidth="1"/>
    <col min="4115" max="4354" width="9.140625" style="114"/>
    <col min="4355" max="4355" width="3.5703125" style="114" customWidth="1"/>
    <col min="4356" max="4356" width="52.42578125" style="114" customWidth="1"/>
    <col min="4357" max="4357" width="22.7109375" style="114" customWidth="1"/>
    <col min="4358" max="4358" width="3.42578125" style="114" customWidth="1"/>
    <col min="4359" max="4359" width="3" style="114" customWidth="1"/>
    <col min="4360" max="4363" width="9.140625" style="114" customWidth="1"/>
    <col min="4364" max="4365" width="10.5703125" style="114" customWidth="1"/>
    <col min="4366" max="4366" width="9.140625" style="114" customWidth="1"/>
    <col min="4367" max="4367" width="12.42578125" style="114" customWidth="1"/>
    <col min="4368" max="4368" width="9.140625" style="114" customWidth="1"/>
    <col min="4369" max="4369" width="10.5703125" style="114" customWidth="1"/>
    <col min="4370" max="4370" width="9.140625" style="114" customWidth="1"/>
    <col min="4371" max="4610" width="9.140625" style="114"/>
    <col min="4611" max="4611" width="3.5703125" style="114" customWidth="1"/>
    <col min="4612" max="4612" width="52.42578125" style="114" customWidth="1"/>
    <col min="4613" max="4613" width="22.7109375" style="114" customWidth="1"/>
    <col min="4614" max="4614" width="3.42578125" style="114" customWidth="1"/>
    <col min="4615" max="4615" width="3" style="114" customWidth="1"/>
    <col min="4616" max="4619" width="9.140625" style="114" customWidth="1"/>
    <col min="4620" max="4621" width="10.5703125" style="114" customWidth="1"/>
    <col min="4622" max="4622" width="9.140625" style="114" customWidth="1"/>
    <col min="4623" max="4623" width="12.42578125" style="114" customWidth="1"/>
    <col min="4624" max="4624" width="9.140625" style="114" customWidth="1"/>
    <col min="4625" max="4625" width="10.5703125" style="114" customWidth="1"/>
    <col min="4626" max="4626" width="9.140625" style="114" customWidth="1"/>
    <col min="4627" max="4866" width="9.140625" style="114"/>
    <col min="4867" max="4867" width="3.5703125" style="114" customWidth="1"/>
    <col min="4868" max="4868" width="52.42578125" style="114" customWidth="1"/>
    <col min="4869" max="4869" width="22.7109375" style="114" customWidth="1"/>
    <col min="4870" max="4870" width="3.42578125" style="114" customWidth="1"/>
    <col min="4871" max="4871" width="3" style="114" customWidth="1"/>
    <col min="4872" max="4875" width="9.140625" style="114" customWidth="1"/>
    <col min="4876" max="4877" width="10.5703125" style="114" customWidth="1"/>
    <col min="4878" max="4878" width="9.140625" style="114" customWidth="1"/>
    <col min="4879" max="4879" width="12.42578125" style="114" customWidth="1"/>
    <col min="4880" max="4880" width="9.140625" style="114" customWidth="1"/>
    <col min="4881" max="4881" width="10.5703125" style="114" customWidth="1"/>
    <col min="4882" max="4882" width="9.140625" style="114" customWidth="1"/>
    <col min="4883" max="5122" width="9.140625" style="114"/>
    <col min="5123" max="5123" width="3.5703125" style="114" customWidth="1"/>
    <col min="5124" max="5124" width="52.42578125" style="114" customWidth="1"/>
    <col min="5125" max="5125" width="22.7109375" style="114" customWidth="1"/>
    <col min="5126" max="5126" width="3.42578125" style="114" customWidth="1"/>
    <col min="5127" max="5127" width="3" style="114" customWidth="1"/>
    <col min="5128" max="5131" width="9.140625" style="114" customWidth="1"/>
    <col min="5132" max="5133" width="10.5703125" style="114" customWidth="1"/>
    <col min="5134" max="5134" width="9.140625" style="114" customWidth="1"/>
    <col min="5135" max="5135" width="12.42578125" style="114" customWidth="1"/>
    <col min="5136" max="5136" width="9.140625" style="114" customWidth="1"/>
    <col min="5137" max="5137" width="10.5703125" style="114" customWidth="1"/>
    <col min="5138" max="5138" width="9.140625" style="114" customWidth="1"/>
    <col min="5139" max="5378" width="9.140625" style="114"/>
    <col min="5379" max="5379" width="3.5703125" style="114" customWidth="1"/>
    <col min="5380" max="5380" width="52.42578125" style="114" customWidth="1"/>
    <col min="5381" max="5381" width="22.7109375" style="114" customWidth="1"/>
    <col min="5382" max="5382" width="3.42578125" style="114" customWidth="1"/>
    <col min="5383" max="5383" width="3" style="114" customWidth="1"/>
    <col min="5384" max="5387" width="9.140625" style="114" customWidth="1"/>
    <col min="5388" max="5389" width="10.5703125" style="114" customWidth="1"/>
    <col min="5390" max="5390" width="9.140625" style="114" customWidth="1"/>
    <col min="5391" max="5391" width="12.42578125" style="114" customWidth="1"/>
    <col min="5392" max="5392" width="9.140625" style="114" customWidth="1"/>
    <col min="5393" max="5393" width="10.5703125" style="114" customWidth="1"/>
    <col min="5394" max="5394" width="9.140625" style="114" customWidth="1"/>
    <col min="5395" max="5634" width="9.140625" style="114"/>
    <col min="5635" max="5635" width="3.5703125" style="114" customWidth="1"/>
    <col min="5636" max="5636" width="52.42578125" style="114" customWidth="1"/>
    <col min="5637" max="5637" width="22.7109375" style="114" customWidth="1"/>
    <col min="5638" max="5638" width="3.42578125" style="114" customWidth="1"/>
    <col min="5639" max="5639" width="3" style="114" customWidth="1"/>
    <col min="5640" max="5643" width="9.140625" style="114" customWidth="1"/>
    <col min="5644" max="5645" width="10.5703125" style="114" customWidth="1"/>
    <col min="5646" max="5646" width="9.140625" style="114" customWidth="1"/>
    <col min="5647" max="5647" width="12.42578125" style="114" customWidth="1"/>
    <col min="5648" max="5648" width="9.140625" style="114" customWidth="1"/>
    <col min="5649" max="5649" width="10.5703125" style="114" customWidth="1"/>
    <col min="5650" max="5650" width="9.140625" style="114" customWidth="1"/>
    <col min="5651" max="5890" width="9.140625" style="114"/>
    <col min="5891" max="5891" width="3.5703125" style="114" customWidth="1"/>
    <col min="5892" max="5892" width="52.42578125" style="114" customWidth="1"/>
    <col min="5893" max="5893" width="22.7109375" style="114" customWidth="1"/>
    <col min="5894" max="5894" width="3.42578125" style="114" customWidth="1"/>
    <col min="5895" max="5895" width="3" style="114" customWidth="1"/>
    <col min="5896" max="5899" width="9.140625" style="114" customWidth="1"/>
    <col min="5900" max="5901" width="10.5703125" style="114" customWidth="1"/>
    <col min="5902" max="5902" width="9.140625" style="114" customWidth="1"/>
    <col min="5903" max="5903" width="12.42578125" style="114" customWidth="1"/>
    <col min="5904" max="5904" width="9.140625" style="114" customWidth="1"/>
    <col min="5905" max="5905" width="10.5703125" style="114" customWidth="1"/>
    <col min="5906" max="5906" width="9.140625" style="114" customWidth="1"/>
    <col min="5907" max="6146" width="9.140625" style="114"/>
    <col min="6147" max="6147" width="3.5703125" style="114" customWidth="1"/>
    <col min="6148" max="6148" width="52.42578125" style="114" customWidth="1"/>
    <col min="6149" max="6149" width="22.7109375" style="114" customWidth="1"/>
    <col min="6150" max="6150" width="3.42578125" style="114" customWidth="1"/>
    <col min="6151" max="6151" width="3" style="114" customWidth="1"/>
    <col min="6152" max="6155" width="9.140625" style="114" customWidth="1"/>
    <col min="6156" max="6157" width="10.5703125" style="114" customWidth="1"/>
    <col min="6158" max="6158" width="9.140625" style="114" customWidth="1"/>
    <col min="6159" max="6159" width="12.42578125" style="114" customWidth="1"/>
    <col min="6160" max="6160" width="9.140625" style="114" customWidth="1"/>
    <col min="6161" max="6161" width="10.5703125" style="114" customWidth="1"/>
    <col min="6162" max="6162" width="9.140625" style="114" customWidth="1"/>
    <col min="6163" max="6402" width="9.140625" style="114"/>
    <col min="6403" max="6403" width="3.5703125" style="114" customWidth="1"/>
    <col min="6404" max="6404" width="52.42578125" style="114" customWidth="1"/>
    <col min="6405" max="6405" width="22.7109375" style="114" customWidth="1"/>
    <col min="6406" max="6406" width="3.42578125" style="114" customWidth="1"/>
    <col min="6407" max="6407" width="3" style="114" customWidth="1"/>
    <col min="6408" max="6411" width="9.140625" style="114" customWidth="1"/>
    <col min="6412" max="6413" width="10.5703125" style="114" customWidth="1"/>
    <col min="6414" max="6414" width="9.140625" style="114" customWidth="1"/>
    <col min="6415" max="6415" width="12.42578125" style="114" customWidth="1"/>
    <col min="6416" max="6416" width="9.140625" style="114" customWidth="1"/>
    <col min="6417" max="6417" width="10.5703125" style="114" customWidth="1"/>
    <col min="6418" max="6418" width="9.140625" style="114" customWidth="1"/>
    <col min="6419" max="6658" width="9.140625" style="114"/>
    <col min="6659" max="6659" width="3.5703125" style="114" customWidth="1"/>
    <col min="6660" max="6660" width="52.42578125" style="114" customWidth="1"/>
    <col min="6661" max="6661" width="22.7109375" style="114" customWidth="1"/>
    <col min="6662" max="6662" width="3.42578125" style="114" customWidth="1"/>
    <col min="6663" max="6663" width="3" style="114" customWidth="1"/>
    <col min="6664" max="6667" width="9.140625" style="114" customWidth="1"/>
    <col min="6668" max="6669" width="10.5703125" style="114" customWidth="1"/>
    <col min="6670" max="6670" width="9.140625" style="114" customWidth="1"/>
    <col min="6671" max="6671" width="12.42578125" style="114" customWidth="1"/>
    <col min="6672" max="6672" width="9.140625" style="114" customWidth="1"/>
    <col min="6673" max="6673" width="10.5703125" style="114" customWidth="1"/>
    <col min="6674" max="6674" width="9.140625" style="114" customWidth="1"/>
    <col min="6675" max="6914" width="9.140625" style="114"/>
    <col min="6915" max="6915" width="3.5703125" style="114" customWidth="1"/>
    <col min="6916" max="6916" width="52.42578125" style="114" customWidth="1"/>
    <col min="6917" max="6917" width="22.7109375" style="114" customWidth="1"/>
    <col min="6918" max="6918" width="3.42578125" style="114" customWidth="1"/>
    <col min="6919" max="6919" width="3" style="114" customWidth="1"/>
    <col min="6920" max="6923" width="9.140625" style="114" customWidth="1"/>
    <col min="6924" max="6925" width="10.5703125" style="114" customWidth="1"/>
    <col min="6926" max="6926" width="9.140625" style="114" customWidth="1"/>
    <col min="6927" max="6927" width="12.42578125" style="114" customWidth="1"/>
    <col min="6928" max="6928" width="9.140625" style="114" customWidth="1"/>
    <col min="6929" max="6929" width="10.5703125" style="114" customWidth="1"/>
    <col min="6930" max="6930" width="9.140625" style="114" customWidth="1"/>
    <col min="6931" max="7170" width="9.140625" style="114"/>
    <col min="7171" max="7171" width="3.5703125" style="114" customWidth="1"/>
    <col min="7172" max="7172" width="52.42578125" style="114" customWidth="1"/>
    <col min="7173" max="7173" width="22.7109375" style="114" customWidth="1"/>
    <col min="7174" max="7174" width="3.42578125" style="114" customWidth="1"/>
    <col min="7175" max="7175" width="3" style="114" customWidth="1"/>
    <col min="7176" max="7179" width="9.140625" style="114" customWidth="1"/>
    <col min="7180" max="7181" width="10.5703125" style="114" customWidth="1"/>
    <col min="7182" max="7182" width="9.140625" style="114" customWidth="1"/>
    <col min="7183" max="7183" width="12.42578125" style="114" customWidth="1"/>
    <col min="7184" max="7184" width="9.140625" style="114" customWidth="1"/>
    <col min="7185" max="7185" width="10.5703125" style="114" customWidth="1"/>
    <col min="7186" max="7186" width="9.140625" style="114" customWidth="1"/>
    <col min="7187" max="7426" width="9.140625" style="114"/>
    <col min="7427" max="7427" width="3.5703125" style="114" customWidth="1"/>
    <col min="7428" max="7428" width="52.42578125" style="114" customWidth="1"/>
    <col min="7429" max="7429" width="22.7109375" style="114" customWidth="1"/>
    <col min="7430" max="7430" width="3.42578125" style="114" customWidth="1"/>
    <col min="7431" max="7431" width="3" style="114" customWidth="1"/>
    <col min="7432" max="7435" width="9.140625" style="114" customWidth="1"/>
    <col min="7436" max="7437" width="10.5703125" style="114" customWidth="1"/>
    <col min="7438" max="7438" width="9.140625" style="114" customWidth="1"/>
    <col min="7439" max="7439" width="12.42578125" style="114" customWidth="1"/>
    <col min="7440" max="7440" width="9.140625" style="114" customWidth="1"/>
    <col min="7441" max="7441" width="10.5703125" style="114" customWidth="1"/>
    <col min="7442" max="7442" width="9.140625" style="114" customWidth="1"/>
    <col min="7443" max="7682" width="9.140625" style="114"/>
    <col min="7683" max="7683" width="3.5703125" style="114" customWidth="1"/>
    <col min="7684" max="7684" width="52.42578125" style="114" customWidth="1"/>
    <col min="7685" max="7685" width="22.7109375" style="114" customWidth="1"/>
    <col min="7686" max="7686" width="3.42578125" style="114" customWidth="1"/>
    <col min="7687" max="7687" width="3" style="114" customWidth="1"/>
    <col min="7688" max="7691" width="9.140625" style="114" customWidth="1"/>
    <col min="7692" max="7693" width="10.5703125" style="114" customWidth="1"/>
    <col min="7694" max="7694" width="9.140625" style="114" customWidth="1"/>
    <col min="7695" max="7695" width="12.42578125" style="114" customWidth="1"/>
    <col min="7696" max="7696" width="9.140625" style="114" customWidth="1"/>
    <col min="7697" max="7697" width="10.5703125" style="114" customWidth="1"/>
    <col min="7698" max="7698" width="9.140625" style="114" customWidth="1"/>
    <col min="7699" max="7938" width="9.140625" style="114"/>
    <col min="7939" max="7939" width="3.5703125" style="114" customWidth="1"/>
    <col min="7940" max="7940" width="52.42578125" style="114" customWidth="1"/>
    <col min="7941" max="7941" width="22.7109375" style="114" customWidth="1"/>
    <col min="7942" max="7942" width="3.42578125" style="114" customWidth="1"/>
    <col min="7943" max="7943" width="3" style="114" customWidth="1"/>
    <col min="7944" max="7947" width="9.140625" style="114" customWidth="1"/>
    <col min="7948" max="7949" width="10.5703125" style="114" customWidth="1"/>
    <col min="7950" max="7950" width="9.140625" style="114" customWidth="1"/>
    <col min="7951" max="7951" width="12.42578125" style="114" customWidth="1"/>
    <col min="7952" max="7952" width="9.140625" style="114" customWidth="1"/>
    <col min="7953" max="7953" width="10.5703125" style="114" customWidth="1"/>
    <col min="7954" max="7954" width="9.140625" style="114" customWidth="1"/>
    <col min="7955" max="8194" width="9.140625" style="114"/>
    <col min="8195" max="8195" width="3.5703125" style="114" customWidth="1"/>
    <col min="8196" max="8196" width="52.42578125" style="114" customWidth="1"/>
    <col min="8197" max="8197" width="22.7109375" style="114" customWidth="1"/>
    <col min="8198" max="8198" width="3.42578125" style="114" customWidth="1"/>
    <col min="8199" max="8199" width="3" style="114" customWidth="1"/>
    <col min="8200" max="8203" width="9.140625" style="114" customWidth="1"/>
    <col min="8204" max="8205" width="10.5703125" style="114" customWidth="1"/>
    <col min="8206" max="8206" width="9.140625" style="114" customWidth="1"/>
    <col min="8207" max="8207" width="12.42578125" style="114" customWidth="1"/>
    <col min="8208" max="8208" width="9.140625" style="114" customWidth="1"/>
    <col min="8209" max="8209" width="10.5703125" style="114" customWidth="1"/>
    <col min="8210" max="8210" width="9.140625" style="114" customWidth="1"/>
    <col min="8211" max="8450" width="9.140625" style="114"/>
    <col min="8451" max="8451" width="3.5703125" style="114" customWidth="1"/>
    <col min="8452" max="8452" width="52.42578125" style="114" customWidth="1"/>
    <col min="8453" max="8453" width="22.7109375" style="114" customWidth="1"/>
    <col min="8454" max="8454" width="3.42578125" style="114" customWidth="1"/>
    <col min="8455" max="8455" width="3" style="114" customWidth="1"/>
    <col min="8456" max="8459" width="9.140625" style="114" customWidth="1"/>
    <col min="8460" max="8461" width="10.5703125" style="114" customWidth="1"/>
    <col min="8462" max="8462" width="9.140625" style="114" customWidth="1"/>
    <col min="8463" max="8463" width="12.42578125" style="114" customWidth="1"/>
    <col min="8464" max="8464" width="9.140625" style="114" customWidth="1"/>
    <col min="8465" max="8465" width="10.5703125" style="114" customWidth="1"/>
    <col min="8466" max="8466" width="9.140625" style="114" customWidth="1"/>
    <col min="8467" max="8706" width="9.140625" style="114"/>
    <col min="8707" max="8707" width="3.5703125" style="114" customWidth="1"/>
    <col min="8708" max="8708" width="52.42578125" style="114" customWidth="1"/>
    <col min="8709" max="8709" width="22.7109375" style="114" customWidth="1"/>
    <col min="8710" max="8710" width="3.42578125" style="114" customWidth="1"/>
    <col min="8711" max="8711" width="3" style="114" customWidth="1"/>
    <col min="8712" max="8715" width="9.140625" style="114" customWidth="1"/>
    <col min="8716" max="8717" width="10.5703125" style="114" customWidth="1"/>
    <col min="8718" max="8718" width="9.140625" style="114" customWidth="1"/>
    <col min="8719" max="8719" width="12.42578125" style="114" customWidth="1"/>
    <col min="8720" max="8720" width="9.140625" style="114" customWidth="1"/>
    <col min="8721" max="8721" width="10.5703125" style="114" customWidth="1"/>
    <col min="8722" max="8722" width="9.140625" style="114" customWidth="1"/>
    <col min="8723" max="8962" width="9.140625" style="114"/>
    <col min="8963" max="8963" width="3.5703125" style="114" customWidth="1"/>
    <col min="8964" max="8964" width="52.42578125" style="114" customWidth="1"/>
    <col min="8965" max="8965" width="22.7109375" style="114" customWidth="1"/>
    <col min="8966" max="8966" width="3.42578125" style="114" customWidth="1"/>
    <col min="8967" max="8967" width="3" style="114" customWidth="1"/>
    <col min="8968" max="8971" width="9.140625" style="114" customWidth="1"/>
    <col min="8972" max="8973" width="10.5703125" style="114" customWidth="1"/>
    <col min="8974" max="8974" width="9.140625" style="114" customWidth="1"/>
    <col min="8975" max="8975" width="12.42578125" style="114" customWidth="1"/>
    <col min="8976" max="8976" width="9.140625" style="114" customWidth="1"/>
    <col min="8977" max="8977" width="10.5703125" style="114" customWidth="1"/>
    <col min="8978" max="8978" width="9.140625" style="114" customWidth="1"/>
    <col min="8979" max="9218" width="9.140625" style="114"/>
    <col min="9219" max="9219" width="3.5703125" style="114" customWidth="1"/>
    <col min="9220" max="9220" width="52.42578125" style="114" customWidth="1"/>
    <col min="9221" max="9221" width="22.7109375" style="114" customWidth="1"/>
    <col min="9222" max="9222" width="3.42578125" style="114" customWidth="1"/>
    <col min="9223" max="9223" width="3" style="114" customWidth="1"/>
    <col min="9224" max="9227" width="9.140625" style="114" customWidth="1"/>
    <col min="9228" max="9229" width="10.5703125" style="114" customWidth="1"/>
    <col min="9230" max="9230" width="9.140625" style="114" customWidth="1"/>
    <col min="9231" max="9231" width="12.42578125" style="114" customWidth="1"/>
    <col min="9232" max="9232" width="9.140625" style="114" customWidth="1"/>
    <col min="9233" max="9233" width="10.5703125" style="114" customWidth="1"/>
    <col min="9234" max="9234" width="9.140625" style="114" customWidth="1"/>
    <col min="9235" max="9474" width="9.140625" style="114"/>
    <col min="9475" max="9475" width="3.5703125" style="114" customWidth="1"/>
    <col min="9476" max="9476" width="52.42578125" style="114" customWidth="1"/>
    <col min="9477" max="9477" width="22.7109375" style="114" customWidth="1"/>
    <col min="9478" max="9478" width="3.42578125" style="114" customWidth="1"/>
    <col min="9479" max="9479" width="3" style="114" customWidth="1"/>
    <col min="9480" max="9483" width="9.140625" style="114" customWidth="1"/>
    <col min="9484" max="9485" width="10.5703125" style="114" customWidth="1"/>
    <col min="9486" max="9486" width="9.140625" style="114" customWidth="1"/>
    <col min="9487" max="9487" width="12.42578125" style="114" customWidth="1"/>
    <col min="9488" max="9488" width="9.140625" style="114" customWidth="1"/>
    <col min="9489" max="9489" width="10.5703125" style="114" customWidth="1"/>
    <col min="9490" max="9490" width="9.140625" style="114" customWidth="1"/>
    <col min="9491" max="9730" width="9.140625" style="114"/>
    <col min="9731" max="9731" width="3.5703125" style="114" customWidth="1"/>
    <col min="9732" max="9732" width="52.42578125" style="114" customWidth="1"/>
    <col min="9733" max="9733" width="22.7109375" style="114" customWidth="1"/>
    <col min="9734" max="9734" width="3.42578125" style="114" customWidth="1"/>
    <col min="9735" max="9735" width="3" style="114" customWidth="1"/>
    <col min="9736" max="9739" width="9.140625" style="114" customWidth="1"/>
    <col min="9740" max="9741" width="10.5703125" style="114" customWidth="1"/>
    <col min="9742" max="9742" width="9.140625" style="114" customWidth="1"/>
    <col min="9743" max="9743" width="12.42578125" style="114" customWidth="1"/>
    <col min="9744" max="9744" width="9.140625" style="114" customWidth="1"/>
    <col min="9745" max="9745" width="10.5703125" style="114" customWidth="1"/>
    <col min="9746" max="9746" width="9.140625" style="114" customWidth="1"/>
    <col min="9747" max="9986" width="9.140625" style="114"/>
    <col min="9987" max="9987" width="3.5703125" style="114" customWidth="1"/>
    <col min="9988" max="9988" width="52.42578125" style="114" customWidth="1"/>
    <col min="9989" max="9989" width="22.7109375" style="114" customWidth="1"/>
    <col min="9990" max="9990" width="3.42578125" style="114" customWidth="1"/>
    <col min="9991" max="9991" width="3" style="114" customWidth="1"/>
    <col min="9992" max="9995" width="9.140625" style="114" customWidth="1"/>
    <col min="9996" max="9997" width="10.5703125" style="114" customWidth="1"/>
    <col min="9998" max="9998" width="9.140625" style="114" customWidth="1"/>
    <col min="9999" max="9999" width="12.42578125" style="114" customWidth="1"/>
    <col min="10000" max="10000" width="9.140625" style="114" customWidth="1"/>
    <col min="10001" max="10001" width="10.5703125" style="114" customWidth="1"/>
    <col min="10002" max="10002" width="9.140625" style="114" customWidth="1"/>
    <col min="10003" max="10242" width="9.140625" style="114"/>
    <col min="10243" max="10243" width="3.5703125" style="114" customWidth="1"/>
    <col min="10244" max="10244" width="52.42578125" style="114" customWidth="1"/>
    <col min="10245" max="10245" width="22.7109375" style="114" customWidth="1"/>
    <col min="10246" max="10246" width="3.42578125" style="114" customWidth="1"/>
    <col min="10247" max="10247" width="3" style="114" customWidth="1"/>
    <col min="10248" max="10251" width="9.140625" style="114" customWidth="1"/>
    <col min="10252" max="10253" width="10.5703125" style="114" customWidth="1"/>
    <col min="10254" max="10254" width="9.140625" style="114" customWidth="1"/>
    <col min="10255" max="10255" width="12.42578125" style="114" customWidth="1"/>
    <col min="10256" max="10256" width="9.140625" style="114" customWidth="1"/>
    <col min="10257" max="10257" width="10.5703125" style="114" customWidth="1"/>
    <col min="10258" max="10258" width="9.140625" style="114" customWidth="1"/>
    <col min="10259" max="10498" width="9.140625" style="114"/>
    <col min="10499" max="10499" width="3.5703125" style="114" customWidth="1"/>
    <col min="10500" max="10500" width="52.42578125" style="114" customWidth="1"/>
    <col min="10501" max="10501" width="22.7109375" style="114" customWidth="1"/>
    <col min="10502" max="10502" width="3.42578125" style="114" customWidth="1"/>
    <col min="10503" max="10503" width="3" style="114" customWidth="1"/>
    <col min="10504" max="10507" width="9.140625" style="114" customWidth="1"/>
    <col min="10508" max="10509" width="10.5703125" style="114" customWidth="1"/>
    <col min="10510" max="10510" width="9.140625" style="114" customWidth="1"/>
    <col min="10511" max="10511" width="12.42578125" style="114" customWidth="1"/>
    <col min="10512" max="10512" width="9.140625" style="114" customWidth="1"/>
    <col min="10513" max="10513" width="10.5703125" style="114" customWidth="1"/>
    <col min="10514" max="10514" width="9.140625" style="114" customWidth="1"/>
    <col min="10515" max="10754" width="9.140625" style="114"/>
    <col min="10755" max="10755" width="3.5703125" style="114" customWidth="1"/>
    <col min="10756" max="10756" width="52.42578125" style="114" customWidth="1"/>
    <col min="10757" max="10757" width="22.7109375" style="114" customWidth="1"/>
    <col min="10758" max="10758" width="3.42578125" style="114" customWidth="1"/>
    <col min="10759" max="10759" width="3" style="114" customWidth="1"/>
    <col min="10760" max="10763" width="9.140625" style="114" customWidth="1"/>
    <col min="10764" max="10765" width="10.5703125" style="114" customWidth="1"/>
    <col min="10766" max="10766" width="9.140625" style="114" customWidth="1"/>
    <col min="10767" max="10767" width="12.42578125" style="114" customWidth="1"/>
    <col min="10768" max="10768" width="9.140625" style="114" customWidth="1"/>
    <col min="10769" max="10769" width="10.5703125" style="114" customWidth="1"/>
    <col min="10770" max="10770" width="9.140625" style="114" customWidth="1"/>
    <col min="10771" max="11010" width="9.140625" style="114"/>
    <col min="11011" max="11011" width="3.5703125" style="114" customWidth="1"/>
    <col min="11012" max="11012" width="52.42578125" style="114" customWidth="1"/>
    <col min="11013" max="11013" width="22.7109375" style="114" customWidth="1"/>
    <col min="11014" max="11014" width="3.42578125" style="114" customWidth="1"/>
    <col min="11015" max="11015" width="3" style="114" customWidth="1"/>
    <col min="11016" max="11019" width="9.140625" style="114" customWidth="1"/>
    <col min="11020" max="11021" width="10.5703125" style="114" customWidth="1"/>
    <col min="11022" max="11022" width="9.140625" style="114" customWidth="1"/>
    <col min="11023" max="11023" width="12.42578125" style="114" customWidth="1"/>
    <col min="11024" max="11024" width="9.140625" style="114" customWidth="1"/>
    <col min="11025" max="11025" width="10.5703125" style="114" customWidth="1"/>
    <col min="11026" max="11026" width="9.140625" style="114" customWidth="1"/>
    <col min="11027" max="11266" width="9.140625" style="114"/>
    <col min="11267" max="11267" width="3.5703125" style="114" customWidth="1"/>
    <col min="11268" max="11268" width="52.42578125" style="114" customWidth="1"/>
    <col min="11269" max="11269" width="22.7109375" style="114" customWidth="1"/>
    <col min="11270" max="11270" width="3.42578125" style="114" customWidth="1"/>
    <col min="11271" max="11271" width="3" style="114" customWidth="1"/>
    <col min="11272" max="11275" width="9.140625" style="114" customWidth="1"/>
    <col min="11276" max="11277" width="10.5703125" style="114" customWidth="1"/>
    <col min="11278" max="11278" width="9.140625" style="114" customWidth="1"/>
    <col min="11279" max="11279" width="12.42578125" style="114" customWidth="1"/>
    <col min="11280" max="11280" width="9.140625" style="114" customWidth="1"/>
    <col min="11281" max="11281" width="10.5703125" style="114" customWidth="1"/>
    <col min="11282" max="11282" width="9.140625" style="114" customWidth="1"/>
    <col min="11283" max="11522" width="9.140625" style="114"/>
    <col min="11523" max="11523" width="3.5703125" style="114" customWidth="1"/>
    <col min="11524" max="11524" width="52.42578125" style="114" customWidth="1"/>
    <col min="11525" max="11525" width="22.7109375" style="114" customWidth="1"/>
    <col min="11526" max="11526" width="3.42578125" style="114" customWidth="1"/>
    <col min="11527" max="11527" width="3" style="114" customWidth="1"/>
    <col min="11528" max="11531" width="9.140625" style="114" customWidth="1"/>
    <col min="11532" max="11533" width="10.5703125" style="114" customWidth="1"/>
    <col min="11534" max="11534" width="9.140625" style="114" customWidth="1"/>
    <col min="11535" max="11535" width="12.42578125" style="114" customWidth="1"/>
    <col min="11536" max="11536" width="9.140625" style="114" customWidth="1"/>
    <col min="11537" max="11537" width="10.5703125" style="114" customWidth="1"/>
    <col min="11538" max="11538" width="9.140625" style="114" customWidth="1"/>
    <col min="11539" max="11778" width="9.140625" style="114"/>
    <col min="11779" max="11779" width="3.5703125" style="114" customWidth="1"/>
    <col min="11780" max="11780" width="52.42578125" style="114" customWidth="1"/>
    <col min="11781" max="11781" width="22.7109375" style="114" customWidth="1"/>
    <col min="11782" max="11782" width="3.42578125" style="114" customWidth="1"/>
    <col min="11783" max="11783" width="3" style="114" customWidth="1"/>
    <col min="11784" max="11787" width="9.140625" style="114" customWidth="1"/>
    <col min="11788" max="11789" width="10.5703125" style="114" customWidth="1"/>
    <col min="11790" max="11790" width="9.140625" style="114" customWidth="1"/>
    <col min="11791" max="11791" width="12.42578125" style="114" customWidth="1"/>
    <col min="11792" max="11792" width="9.140625" style="114" customWidth="1"/>
    <col min="11793" max="11793" width="10.5703125" style="114" customWidth="1"/>
    <col min="11794" max="11794" width="9.140625" style="114" customWidth="1"/>
    <col min="11795" max="12034" width="9.140625" style="114"/>
    <col min="12035" max="12035" width="3.5703125" style="114" customWidth="1"/>
    <col min="12036" max="12036" width="52.42578125" style="114" customWidth="1"/>
    <col min="12037" max="12037" width="22.7109375" style="114" customWidth="1"/>
    <col min="12038" max="12038" width="3.42578125" style="114" customWidth="1"/>
    <col min="12039" max="12039" width="3" style="114" customWidth="1"/>
    <col min="12040" max="12043" width="9.140625" style="114" customWidth="1"/>
    <col min="12044" max="12045" width="10.5703125" style="114" customWidth="1"/>
    <col min="12046" max="12046" width="9.140625" style="114" customWidth="1"/>
    <col min="12047" max="12047" width="12.42578125" style="114" customWidth="1"/>
    <col min="12048" max="12048" width="9.140625" style="114" customWidth="1"/>
    <col min="12049" max="12049" width="10.5703125" style="114" customWidth="1"/>
    <col min="12050" max="12050" width="9.140625" style="114" customWidth="1"/>
    <col min="12051" max="12290" width="9.140625" style="114"/>
    <col min="12291" max="12291" width="3.5703125" style="114" customWidth="1"/>
    <col min="12292" max="12292" width="52.42578125" style="114" customWidth="1"/>
    <col min="12293" max="12293" width="22.7109375" style="114" customWidth="1"/>
    <col min="12294" max="12294" width="3.42578125" style="114" customWidth="1"/>
    <col min="12295" max="12295" width="3" style="114" customWidth="1"/>
    <col min="12296" max="12299" width="9.140625" style="114" customWidth="1"/>
    <col min="12300" max="12301" width="10.5703125" style="114" customWidth="1"/>
    <col min="12302" max="12302" width="9.140625" style="114" customWidth="1"/>
    <col min="12303" max="12303" width="12.42578125" style="114" customWidth="1"/>
    <col min="12304" max="12304" width="9.140625" style="114" customWidth="1"/>
    <col min="12305" max="12305" width="10.5703125" style="114" customWidth="1"/>
    <col min="12306" max="12306" width="9.140625" style="114" customWidth="1"/>
    <col min="12307" max="12546" width="9.140625" style="114"/>
    <col min="12547" max="12547" width="3.5703125" style="114" customWidth="1"/>
    <col min="12548" max="12548" width="52.42578125" style="114" customWidth="1"/>
    <col min="12549" max="12549" width="22.7109375" style="114" customWidth="1"/>
    <col min="12550" max="12550" width="3.42578125" style="114" customWidth="1"/>
    <col min="12551" max="12551" width="3" style="114" customWidth="1"/>
    <col min="12552" max="12555" width="9.140625" style="114" customWidth="1"/>
    <col min="12556" max="12557" width="10.5703125" style="114" customWidth="1"/>
    <col min="12558" max="12558" width="9.140625" style="114" customWidth="1"/>
    <col min="12559" max="12559" width="12.42578125" style="114" customWidth="1"/>
    <col min="12560" max="12560" width="9.140625" style="114" customWidth="1"/>
    <col min="12561" max="12561" width="10.5703125" style="114" customWidth="1"/>
    <col min="12562" max="12562" width="9.140625" style="114" customWidth="1"/>
    <col min="12563" max="12802" width="9.140625" style="114"/>
    <col min="12803" max="12803" width="3.5703125" style="114" customWidth="1"/>
    <col min="12804" max="12804" width="52.42578125" style="114" customWidth="1"/>
    <col min="12805" max="12805" width="22.7109375" style="114" customWidth="1"/>
    <col min="12806" max="12806" width="3.42578125" style="114" customWidth="1"/>
    <col min="12807" max="12807" width="3" style="114" customWidth="1"/>
    <col min="12808" max="12811" width="9.140625" style="114" customWidth="1"/>
    <col min="12812" max="12813" width="10.5703125" style="114" customWidth="1"/>
    <col min="12814" max="12814" width="9.140625" style="114" customWidth="1"/>
    <col min="12815" max="12815" width="12.42578125" style="114" customWidth="1"/>
    <col min="12816" max="12816" width="9.140625" style="114" customWidth="1"/>
    <col min="12817" max="12817" width="10.5703125" style="114" customWidth="1"/>
    <col min="12818" max="12818" width="9.140625" style="114" customWidth="1"/>
    <col min="12819" max="13058" width="9.140625" style="114"/>
    <col min="13059" max="13059" width="3.5703125" style="114" customWidth="1"/>
    <col min="13060" max="13060" width="52.42578125" style="114" customWidth="1"/>
    <col min="13061" max="13061" width="22.7109375" style="114" customWidth="1"/>
    <col min="13062" max="13062" width="3.42578125" style="114" customWidth="1"/>
    <col min="13063" max="13063" width="3" style="114" customWidth="1"/>
    <col min="13064" max="13067" width="9.140625" style="114" customWidth="1"/>
    <col min="13068" max="13069" width="10.5703125" style="114" customWidth="1"/>
    <col min="13070" max="13070" width="9.140625" style="114" customWidth="1"/>
    <col min="13071" max="13071" width="12.42578125" style="114" customWidth="1"/>
    <col min="13072" max="13072" width="9.140625" style="114" customWidth="1"/>
    <col min="13073" max="13073" width="10.5703125" style="114" customWidth="1"/>
    <col min="13074" max="13074" width="9.140625" style="114" customWidth="1"/>
    <col min="13075" max="13314" width="9.140625" style="114"/>
    <col min="13315" max="13315" width="3.5703125" style="114" customWidth="1"/>
    <col min="13316" max="13316" width="52.42578125" style="114" customWidth="1"/>
    <col min="13317" max="13317" width="22.7109375" style="114" customWidth="1"/>
    <col min="13318" max="13318" width="3.42578125" style="114" customWidth="1"/>
    <col min="13319" max="13319" width="3" style="114" customWidth="1"/>
    <col min="13320" max="13323" width="9.140625" style="114" customWidth="1"/>
    <col min="13324" max="13325" width="10.5703125" style="114" customWidth="1"/>
    <col min="13326" max="13326" width="9.140625" style="114" customWidth="1"/>
    <col min="13327" max="13327" width="12.42578125" style="114" customWidth="1"/>
    <col min="13328" max="13328" width="9.140625" style="114" customWidth="1"/>
    <col min="13329" max="13329" width="10.5703125" style="114" customWidth="1"/>
    <col min="13330" max="13330" width="9.140625" style="114" customWidth="1"/>
    <col min="13331" max="13570" width="9.140625" style="114"/>
    <col min="13571" max="13571" width="3.5703125" style="114" customWidth="1"/>
    <col min="13572" max="13572" width="52.42578125" style="114" customWidth="1"/>
    <col min="13573" max="13573" width="22.7109375" style="114" customWidth="1"/>
    <col min="13574" max="13574" width="3.42578125" style="114" customWidth="1"/>
    <col min="13575" max="13575" width="3" style="114" customWidth="1"/>
    <col min="13576" max="13579" width="9.140625" style="114" customWidth="1"/>
    <col min="13580" max="13581" width="10.5703125" style="114" customWidth="1"/>
    <col min="13582" max="13582" width="9.140625" style="114" customWidth="1"/>
    <col min="13583" max="13583" width="12.42578125" style="114" customWidth="1"/>
    <col min="13584" max="13584" width="9.140625" style="114" customWidth="1"/>
    <col min="13585" max="13585" width="10.5703125" style="114" customWidth="1"/>
    <col min="13586" max="13586" width="9.140625" style="114" customWidth="1"/>
    <col min="13587" max="13826" width="9.140625" style="114"/>
    <col min="13827" max="13827" width="3.5703125" style="114" customWidth="1"/>
    <col min="13828" max="13828" width="52.42578125" style="114" customWidth="1"/>
    <col min="13829" max="13829" width="22.7109375" style="114" customWidth="1"/>
    <col min="13830" max="13830" width="3.42578125" style="114" customWidth="1"/>
    <col min="13831" max="13831" width="3" style="114" customWidth="1"/>
    <col min="13832" max="13835" width="9.140625" style="114" customWidth="1"/>
    <col min="13836" max="13837" width="10.5703125" style="114" customWidth="1"/>
    <col min="13838" max="13838" width="9.140625" style="114" customWidth="1"/>
    <col min="13839" max="13839" width="12.42578125" style="114" customWidth="1"/>
    <col min="13840" max="13840" width="9.140625" style="114" customWidth="1"/>
    <col min="13841" max="13841" width="10.5703125" style="114" customWidth="1"/>
    <col min="13842" max="13842" width="9.140625" style="114" customWidth="1"/>
    <col min="13843" max="14082" width="9.140625" style="114"/>
    <col min="14083" max="14083" width="3.5703125" style="114" customWidth="1"/>
    <col min="14084" max="14084" width="52.42578125" style="114" customWidth="1"/>
    <col min="14085" max="14085" width="22.7109375" style="114" customWidth="1"/>
    <col min="14086" max="14086" width="3.42578125" style="114" customWidth="1"/>
    <col min="14087" max="14087" width="3" style="114" customWidth="1"/>
    <col min="14088" max="14091" width="9.140625" style="114" customWidth="1"/>
    <col min="14092" max="14093" width="10.5703125" style="114" customWidth="1"/>
    <col min="14094" max="14094" width="9.140625" style="114" customWidth="1"/>
    <col min="14095" max="14095" width="12.42578125" style="114" customWidth="1"/>
    <col min="14096" max="14096" width="9.140625" style="114" customWidth="1"/>
    <col min="14097" max="14097" width="10.5703125" style="114" customWidth="1"/>
    <col min="14098" max="14098" width="9.140625" style="114" customWidth="1"/>
    <col min="14099" max="14338" width="9.140625" style="114"/>
    <col min="14339" max="14339" width="3.5703125" style="114" customWidth="1"/>
    <col min="14340" max="14340" width="52.42578125" style="114" customWidth="1"/>
    <col min="14341" max="14341" width="22.7109375" style="114" customWidth="1"/>
    <col min="14342" max="14342" width="3.42578125" style="114" customWidth="1"/>
    <col min="14343" max="14343" width="3" style="114" customWidth="1"/>
    <col min="14344" max="14347" width="9.140625" style="114" customWidth="1"/>
    <col min="14348" max="14349" width="10.5703125" style="114" customWidth="1"/>
    <col min="14350" max="14350" width="9.140625" style="114" customWidth="1"/>
    <col min="14351" max="14351" width="12.42578125" style="114" customWidth="1"/>
    <col min="14352" max="14352" width="9.140625" style="114" customWidth="1"/>
    <col min="14353" max="14353" width="10.5703125" style="114" customWidth="1"/>
    <col min="14354" max="14354" width="9.140625" style="114" customWidth="1"/>
    <col min="14355" max="14594" width="9.140625" style="114"/>
    <col min="14595" max="14595" width="3.5703125" style="114" customWidth="1"/>
    <col min="14596" max="14596" width="52.42578125" style="114" customWidth="1"/>
    <col min="14597" max="14597" width="22.7109375" style="114" customWidth="1"/>
    <col min="14598" max="14598" width="3.42578125" style="114" customWidth="1"/>
    <col min="14599" max="14599" width="3" style="114" customWidth="1"/>
    <col min="14600" max="14603" width="9.140625" style="114" customWidth="1"/>
    <col min="14604" max="14605" width="10.5703125" style="114" customWidth="1"/>
    <col min="14606" max="14606" width="9.140625" style="114" customWidth="1"/>
    <col min="14607" max="14607" width="12.42578125" style="114" customWidth="1"/>
    <col min="14608" max="14608" width="9.140625" style="114" customWidth="1"/>
    <col min="14609" max="14609" width="10.5703125" style="114" customWidth="1"/>
    <col min="14610" max="14610" width="9.140625" style="114" customWidth="1"/>
    <col min="14611" max="14850" width="9.140625" style="114"/>
    <col min="14851" max="14851" width="3.5703125" style="114" customWidth="1"/>
    <col min="14852" max="14852" width="52.42578125" style="114" customWidth="1"/>
    <col min="14853" max="14853" width="22.7109375" style="114" customWidth="1"/>
    <col min="14854" max="14854" width="3.42578125" style="114" customWidth="1"/>
    <col min="14855" max="14855" width="3" style="114" customWidth="1"/>
    <col min="14856" max="14859" width="9.140625" style="114" customWidth="1"/>
    <col min="14860" max="14861" width="10.5703125" style="114" customWidth="1"/>
    <col min="14862" max="14862" width="9.140625" style="114" customWidth="1"/>
    <col min="14863" max="14863" width="12.42578125" style="114" customWidth="1"/>
    <col min="14864" max="14864" width="9.140625" style="114" customWidth="1"/>
    <col min="14865" max="14865" width="10.5703125" style="114" customWidth="1"/>
    <col min="14866" max="14866" width="9.140625" style="114" customWidth="1"/>
    <col min="14867" max="15106" width="9.140625" style="114"/>
    <col min="15107" max="15107" width="3.5703125" style="114" customWidth="1"/>
    <col min="15108" max="15108" width="52.42578125" style="114" customWidth="1"/>
    <col min="15109" max="15109" width="22.7109375" style="114" customWidth="1"/>
    <col min="15110" max="15110" width="3.42578125" style="114" customWidth="1"/>
    <col min="15111" max="15111" width="3" style="114" customWidth="1"/>
    <col min="15112" max="15115" width="9.140625" style="114" customWidth="1"/>
    <col min="15116" max="15117" width="10.5703125" style="114" customWidth="1"/>
    <col min="15118" max="15118" width="9.140625" style="114" customWidth="1"/>
    <col min="15119" max="15119" width="12.42578125" style="114" customWidth="1"/>
    <col min="15120" max="15120" width="9.140625" style="114" customWidth="1"/>
    <col min="15121" max="15121" width="10.5703125" style="114" customWidth="1"/>
    <col min="15122" max="15122" width="9.140625" style="114" customWidth="1"/>
    <col min="15123" max="15362" width="9.140625" style="114"/>
    <col min="15363" max="15363" width="3.5703125" style="114" customWidth="1"/>
    <col min="15364" max="15364" width="52.42578125" style="114" customWidth="1"/>
    <col min="15365" max="15365" width="22.7109375" style="114" customWidth="1"/>
    <col min="15366" max="15366" width="3.42578125" style="114" customWidth="1"/>
    <col min="15367" max="15367" width="3" style="114" customWidth="1"/>
    <col min="15368" max="15371" width="9.140625" style="114" customWidth="1"/>
    <col min="15372" max="15373" width="10.5703125" style="114" customWidth="1"/>
    <col min="15374" max="15374" width="9.140625" style="114" customWidth="1"/>
    <col min="15375" max="15375" width="12.42578125" style="114" customWidth="1"/>
    <col min="15376" max="15376" width="9.140625" style="114" customWidth="1"/>
    <col min="15377" max="15377" width="10.5703125" style="114" customWidth="1"/>
    <col min="15378" max="15378" width="9.140625" style="114" customWidth="1"/>
    <col min="15379" max="15618" width="9.140625" style="114"/>
    <col min="15619" max="15619" width="3.5703125" style="114" customWidth="1"/>
    <col min="15620" max="15620" width="52.42578125" style="114" customWidth="1"/>
    <col min="15621" max="15621" width="22.7109375" style="114" customWidth="1"/>
    <col min="15622" max="15622" width="3.42578125" style="114" customWidth="1"/>
    <col min="15623" max="15623" width="3" style="114" customWidth="1"/>
    <col min="15624" max="15627" width="9.140625" style="114" customWidth="1"/>
    <col min="15628" max="15629" width="10.5703125" style="114" customWidth="1"/>
    <col min="15630" max="15630" width="9.140625" style="114" customWidth="1"/>
    <col min="15631" max="15631" width="12.42578125" style="114" customWidth="1"/>
    <col min="15632" max="15632" width="9.140625" style="114" customWidth="1"/>
    <col min="15633" max="15633" width="10.5703125" style="114" customWidth="1"/>
    <col min="15634" max="15634" width="9.140625" style="114" customWidth="1"/>
    <col min="15635" max="15874" width="9.140625" style="114"/>
    <col min="15875" max="15875" width="3.5703125" style="114" customWidth="1"/>
    <col min="15876" max="15876" width="52.42578125" style="114" customWidth="1"/>
    <col min="15877" max="15877" width="22.7109375" style="114" customWidth="1"/>
    <col min="15878" max="15878" width="3.42578125" style="114" customWidth="1"/>
    <col min="15879" max="15879" width="3" style="114" customWidth="1"/>
    <col min="15880" max="15883" width="9.140625" style="114" customWidth="1"/>
    <col min="15884" max="15885" width="10.5703125" style="114" customWidth="1"/>
    <col min="15886" max="15886" width="9.140625" style="114" customWidth="1"/>
    <col min="15887" max="15887" width="12.42578125" style="114" customWidth="1"/>
    <col min="15888" max="15888" width="9.140625" style="114" customWidth="1"/>
    <col min="15889" max="15889" width="10.5703125" style="114" customWidth="1"/>
    <col min="15890" max="15890" width="9.140625" style="114" customWidth="1"/>
    <col min="15891" max="16130" width="9.140625" style="114"/>
    <col min="16131" max="16131" width="3.5703125" style="114" customWidth="1"/>
    <col min="16132" max="16132" width="52.42578125" style="114" customWidth="1"/>
    <col min="16133" max="16133" width="22.7109375" style="114" customWidth="1"/>
    <col min="16134" max="16134" width="3.42578125" style="114" customWidth="1"/>
    <col min="16135" max="16135" width="3" style="114" customWidth="1"/>
    <col min="16136" max="16139" width="9.140625" style="114" customWidth="1"/>
    <col min="16140" max="16141" width="10.5703125" style="114" customWidth="1"/>
    <col min="16142" max="16142" width="9.140625" style="114" customWidth="1"/>
    <col min="16143" max="16143" width="12.42578125" style="114" customWidth="1"/>
    <col min="16144" max="16144" width="9.140625" style="114" customWidth="1"/>
    <col min="16145" max="16145" width="10.5703125" style="114" customWidth="1"/>
    <col min="16146" max="16146" width="9.140625" style="114" customWidth="1"/>
    <col min="16147" max="16384" width="9.140625" style="114"/>
  </cols>
  <sheetData>
    <row r="2" spans="1:18" ht="15" customHeight="1" x14ac:dyDescent="0.25">
      <c r="B2" s="290" t="s">
        <v>926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</row>
    <row r="3" spans="1:18" s="116" customFormat="1" ht="15" customHeight="1" x14ac:dyDescent="0.25">
      <c r="B3" s="291" t="s">
        <v>649</v>
      </c>
      <c r="C3" s="291"/>
      <c r="D3" s="291"/>
      <c r="E3" s="291" t="s">
        <v>801</v>
      </c>
      <c r="F3" s="291" t="s">
        <v>463</v>
      </c>
      <c r="G3" s="291" t="s">
        <v>1</v>
      </c>
      <c r="H3" s="291"/>
      <c r="I3" s="291"/>
      <c r="J3" s="291"/>
      <c r="K3" s="291" t="s">
        <v>710</v>
      </c>
      <c r="L3" s="291"/>
      <c r="M3" s="291"/>
      <c r="N3" s="291"/>
      <c r="O3" s="291" t="s">
        <v>711</v>
      </c>
      <c r="P3" s="291"/>
      <c r="Q3" s="291"/>
      <c r="R3" s="291"/>
    </row>
    <row r="4" spans="1:18" s="116" customFormat="1" ht="15" customHeight="1" x14ac:dyDescent="0.25">
      <c r="B4" s="291"/>
      <c r="C4" s="291"/>
      <c r="D4" s="291"/>
      <c r="E4" s="291"/>
      <c r="F4" s="291"/>
      <c r="G4" s="164" t="s">
        <v>165</v>
      </c>
      <c r="H4" s="164" t="s">
        <v>968</v>
      </c>
      <c r="I4" s="164" t="s">
        <v>166</v>
      </c>
      <c r="J4" s="164" t="s">
        <v>802</v>
      </c>
      <c r="K4" s="164" t="s">
        <v>165</v>
      </c>
      <c r="L4" s="164" t="s">
        <v>968</v>
      </c>
      <c r="M4" s="164" t="s">
        <v>166</v>
      </c>
      <c r="N4" s="164" t="s">
        <v>802</v>
      </c>
      <c r="O4" s="164" t="s">
        <v>165</v>
      </c>
      <c r="P4" s="164" t="str">
        <f>H4</f>
        <v>DISP</v>
      </c>
      <c r="Q4" s="164" t="s">
        <v>166</v>
      </c>
      <c r="R4" s="164" t="s">
        <v>802</v>
      </c>
    </row>
    <row r="5" spans="1:18" s="116" customFormat="1" x14ac:dyDescent="0.25">
      <c r="A5" s="117"/>
      <c r="B5" s="157" t="s">
        <v>676</v>
      </c>
      <c r="C5" s="156">
        <v>3</v>
      </c>
      <c r="D5" s="156" t="s">
        <v>803</v>
      </c>
      <c r="E5" s="156"/>
      <c r="F5" s="156">
        <v>1000</v>
      </c>
      <c r="G5" s="156">
        <v>0</v>
      </c>
      <c r="H5" s="156"/>
      <c r="I5" s="156">
        <v>20</v>
      </c>
      <c r="J5" s="156">
        <v>20</v>
      </c>
      <c r="K5" s="157">
        <f>IF($F5*G5&gt;0,$F5*G5,0)</f>
        <v>0</v>
      </c>
      <c r="L5" s="157">
        <f t="shared" ref="L5:N5" si="0">IF($F5*H5&gt;0,$F5*H5,0)</f>
        <v>0</v>
      </c>
      <c r="M5" s="157">
        <f t="shared" si="0"/>
        <v>20000</v>
      </c>
      <c r="N5" s="157">
        <f t="shared" si="0"/>
        <v>20000</v>
      </c>
      <c r="O5" s="157">
        <f>IF($D5="e",K5/$E5,0)</f>
        <v>0</v>
      </c>
      <c r="P5" s="157">
        <f t="shared" ref="P5:R5" si="1">IF($D5="e",L5/$E5,0)</f>
        <v>0</v>
      </c>
      <c r="Q5" s="157">
        <f t="shared" si="1"/>
        <v>0</v>
      </c>
      <c r="R5" s="157">
        <f t="shared" si="1"/>
        <v>0</v>
      </c>
    </row>
    <row r="6" spans="1:18" x14ac:dyDescent="0.25">
      <c r="A6" s="115"/>
      <c r="B6" s="157" t="s">
        <v>804</v>
      </c>
      <c r="C6" s="156">
        <v>5</v>
      </c>
      <c r="D6" s="156" t="s">
        <v>805</v>
      </c>
      <c r="E6" s="156">
        <v>3</v>
      </c>
      <c r="F6" s="156">
        <v>550</v>
      </c>
      <c r="G6" s="156">
        <v>1</v>
      </c>
      <c r="H6" s="156"/>
      <c r="I6" s="156">
        <v>2</v>
      </c>
      <c r="J6" s="156">
        <v>2</v>
      </c>
      <c r="K6" s="157">
        <f t="shared" ref="K6:K69" si="2">IF($F6*G6&gt;0,$F6*G6,0)</f>
        <v>550</v>
      </c>
      <c r="L6" s="157">
        <f t="shared" ref="L6:L69" si="3">IF($F6*H6&gt;0,$F6*H6,0)</f>
        <v>0</v>
      </c>
      <c r="M6" s="157">
        <f t="shared" ref="M6:M69" si="4">IF($F6*I6&gt;0,$F6*I6,0)</f>
        <v>1100</v>
      </c>
      <c r="N6" s="157">
        <f t="shared" ref="N6:N69" si="5">IF($F6*J6&gt;0,$F6*J6,0)</f>
        <v>1100</v>
      </c>
      <c r="O6" s="157">
        <f t="shared" ref="O6:O69" si="6">IF($D6="e",K6/$E6,0)</f>
        <v>183.33333333333334</v>
      </c>
      <c r="P6" s="157">
        <f t="shared" ref="P6:P69" si="7">IF($D6="e",L6/$E6,0)</f>
        <v>0</v>
      </c>
      <c r="Q6" s="157">
        <f t="shared" ref="Q6:Q69" si="8">IF($D6="e",M6/$E6,0)</f>
        <v>366.66666666666669</v>
      </c>
      <c r="R6" s="157">
        <f t="shared" ref="R6:R69" si="9">IF($D6="e",N6/$E6,0)</f>
        <v>366.66666666666669</v>
      </c>
    </row>
    <row r="7" spans="1:18" x14ac:dyDescent="0.25">
      <c r="A7" s="115"/>
      <c r="B7" s="159" t="s">
        <v>806</v>
      </c>
      <c r="C7" s="160">
        <v>2</v>
      </c>
      <c r="D7" s="160" t="s">
        <v>805</v>
      </c>
      <c r="E7" s="160">
        <v>3</v>
      </c>
      <c r="F7" s="160">
        <v>1000</v>
      </c>
      <c r="G7" s="160">
        <v>1</v>
      </c>
      <c r="H7" s="160">
        <v>1</v>
      </c>
      <c r="I7" s="160">
        <v>2</v>
      </c>
      <c r="J7" s="160">
        <v>2</v>
      </c>
      <c r="K7" s="157">
        <f t="shared" si="2"/>
        <v>1000</v>
      </c>
      <c r="L7" s="157">
        <f t="shared" si="3"/>
        <v>1000</v>
      </c>
      <c r="M7" s="157">
        <f t="shared" si="4"/>
        <v>2000</v>
      </c>
      <c r="N7" s="157">
        <f t="shared" si="5"/>
        <v>2000</v>
      </c>
      <c r="O7" s="157">
        <f t="shared" si="6"/>
        <v>333.33333333333331</v>
      </c>
      <c r="P7" s="157">
        <f t="shared" si="7"/>
        <v>333.33333333333331</v>
      </c>
      <c r="Q7" s="157">
        <f t="shared" si="8"/>
        <v>666.66666666666663</v>
      </c>
      <c r="R7" s="157">
        <f t="shared" si="9"/>
        <v>666.66666666666663</v>
      </c>
    </row>
    <row r="8" spans="1:18" x14ac:dyDescent="0.25">
      <c r="A8" s="115"/>
      <c r="B8" s="157" t="s">
        <v>807</v>
      </c>
      <c r="C8" s="156">
        <v>6</v>
      </c>
      <c r="D8" s="156" t="s">
        <v>803</v>
      </c>
      <c r="E8" s="156"/>
      <c r="F8" s="156">
        <v>350</v>
      </c>
      <c r="G8" s="156">
        <v>0</v>
      </c>
      <c r="H8" s="156"/>
      <c r="I8" s="156">
        <v>2</v>
      </c>
      <c r="J8" s="156">
        <v>2</v>
      </c>
      <c r="K8" s="157">
        <f t="shared" si="2"/>
        <v>0</v>
      </c>
      <c r="L8" s="157">
        <f t="shared" si="3"/>
        <v>0</v>
      </c>
      <c r="M8" s="157">
        <f t="shared" si="4"/>
        <v>700</v>
      </c>
      <c r="N8" s="157">
        <f t="shared" si="5"/>
        <v>700</v>
      </c>
      <c r="O8" s="157">
        <f t="shared" si="6"/>
        <v>0</v>
      </c>
      <c r="P8" s="157">
        <f t="shared" si="7"/>
        <v>0</v>
      </c>
      <c r="Q8" s="157">
        <f t="shared" si="8"/>
        <v>0</v>
      </c>
      <c r="R8" s="157">
        <f t="shared" si="9"/>
        <v>0</v>
      </c>
    </row>
    <row r="9" spans="1:18" x14ac:dyDescent="0.25">
      <c r="A9" s="115"/>
      <c r="B9" s="157" t="s">
        <v>808</v>
      </c>
      <c r="C9" s="156">
        <v>12</v>
      </c>
      <c r="D9" s="156" t="s">
        <v>805</v>
      </c>
      <c r="E9" s="156">
        <v>8</v>
      </c>
      <c r="F9" s="156">
        <v>10000</v>
      </c>
      <c r="G9" s="156">
        <v>0</v>
      </c>
      <c r="H9" s="156"/>
      <c r="I9" s="156">
        <v>1</v>
      </c>
      <c r="J9" s="156">
        <v>1</v>
      </c>
      <c r="K9" s="157">
        <f t="shared" si="2"/>
        <v>0</v>
      </c>
      <c r="L9" s="157">
        <f t="shared" si="3"/>
        <v>0</v>
      </c>
      <c r="M9" s="157">
        <f t="shared" si="4"/>
        <v>10000</v>
      </c>
      <c r="N9" s="157">
        <f t="shared" si="5"/>
        <v>10000</v>
      </c>
      <c r="O9" s="157">
        <f t="shared" si="6"/>
        <v>0</v>
      </c>
      <c r="P9" s="157">
        <f t="shared" si="7"/>
        <v>0</v>
      </c>
      <c r="Q9" s="157">
        <f t="shared" si="8"/>
        <v>1250</v>
      </c>
      <c r="R9" s="157">
        <f t="shared" si="9"/>
        <v>1250</v>
      </c>
    </row>
    <row r="10" spans="1:18" x14ac:dyDescent="0.25">
      <c r="A10" s="115"/>
      <c r="B10" s="157" t="s">
        <v>809</v>
      </c>
      <c r="C10" s="156">
        <v>6</v>
      </c>
      <c r="D10" s="156" t="s">
        <v>805</v>
      </c>
      <c r="E10" s="156">
        <v>5</v>
      </c>
      <c r="F10" s="156">
        <v>3500</v>
      </c>
      <c r="G10" s="156">
        <v>8</v>
      </c>
      <c r="H10" s="156"/>
      <c r="I10" s="156">
        <v>14</v>
      </c>
      <c r="J10" s="156">
        <v>17</v>
      </c>
      <c r="K10" s="157">
        <f t="shared" si="2"/>
        <v>28000</v>
      </c>
      <c r="L10" s="157">
        <f t="shared" si="3"/>
        <v>0</v>
      </c>
      <c r="M10" s="157">
        <f t="shared" si="4"/>
        <v>49000</v>
      </c>
      <c r="N10" s="157">
        <f t="shared" si="5"/>
        <v>59500</v>
      </c>
      <c r="O10" s="157">
        <f t="shared" si="6"/>
        <v>5600</v>
      </c>
      <c r="P10" s="157">
        <f t="shared" si="7"/>
        <v>0</v>
      </c>
      <c r="Q10" s="157">
        <f t="shared" si="8"/>
        <v>9800</v>
      </c>
      <c r="R10" s="157">
        <f t="shared" si="9"/>
        <v>11900</v>
      </c>
    </row>
    <row r="11" spans="1:18" x14ac:dyDescent="0.25">
      <c r="A11" s="115"/>
      <c r="B11" s="157" t="s">
        <v>707</v>
      </c>
      <c r="C11" s="156">
        <v>14</v>
      </c>
      <c r="D11" s="156" t="s">
        <v>805</v>
      </c>
      <c r="E11" s="156">
        <v>10</v>
      </c>
      <c r="F11" s="156">
        <v>4000000</v>
      </c>
      <c r="G11" s="156">
        <v>0</v>
      </c>
      <c r="H11" s="156"/>
      <c r="I11" s="156">
        <v>1</v>
      </c>
      <c r="J11" s="156">
        <v>1</v>
      </c>
      <c r="K11" s="157">
        <f t="shared" si="2"/>
        <v>0</v>
      </c>
      <c r="L11" s="157">
        <f t="shared" si="3"/>
        <v>0</v>
      </c>
      <c r="M11" s="157">
        <f t="shared" si="4"/>
        <v>4000000</v>
      </c>
      <c r="N11" s="157">
        <f t="shared" si="5"/>
        <v>4000000</v>
      </c>
      <c r="O11" s="157">
        <f t="shared" si="6"/>
        <v>0</v>
      </c>
      <c r="P11" s="157">
        <f t="shared" si="7"/>
        <v>0</v>
      </c>
      <c r="Q11" s="157">
        <f t="shared" si="8"/>
        <v>400000</v>
      </c>
      <c r="R11" s="157">
        <f t="shared" si="9"/>
        <v>400000</v>
      </c>
    </row>
    <row r="12" spans="1:18" x14ac:dyDescent="0.25">
      <c r="A12" s="115"/>
      <c r="B12" s="157" t="s">
        <v>810</v>
      </c>
      <c r="C12" s="156">
        <v>6</v>
      </c>
      <c r="D12" s="156" t="s">
        <v>805</v>
      </c>
      <c r="E12" s="156">
        <v>10</v>
      </c>
      <c r="F12" s="156">
        <v>2000000</v>
      </c>
      <c r="G12" s="156">
        <v>0</v>
      </c>
      <c r="H12" s="156"/>
      <c r="I12" s="156">
        <v>0</v>
      </c>
      <c r="J12" s="156">
        <v>1</v>
      </c>
      <c r="K12" s="157">
        <f t="shared" si="2"/>
        <v>0</v>
      </c>
      <c r="L12" s="157">
        <f t="shared" si="3"/>
        <v>0</v>
      </c>
      <c r="M12" s="157">
        <f t="shared" si="4"/>
        <v>0</v>
      </c>
      <c r="N12" s="157">
        <f t="shared" si="5"/>
        <v>2000000</v>
      </c>
      <c r="O12" s="157">
        <f t="shared" si="6"/>
        <v>0</v>
      </c>
      <c r="P12" s="157">
        <f t="shared" si="7"/>
        <v>0</v>
      </c>
      <c r="Q12" s="157">
        <f t="shared" si="8"/>
        <v>0</v>
      </c>
      <c r="R12" s="157">
        <f t="shared" si="9"/>
        <v>200000</v>
      </c>
    </row>
    <row r="13" spans="1:18" x14ac:dyDescent="0.25">
      <c r="A13" s="115"/>
      <c r="B13" s="157" t="s">
        <v>811</v>
      </c>
      <c r="C13" s="156">
        <v>1</v>
      </c>
      <c r="D13" s="156" t="s">
        <v>803</v>
      </c>
      <c r="E13" s="156"/>
      <c r="F13" s="156">
        <v>500</v>
      </c>
      <c r="G13" s="156">
        <v>2</v>
      </c>
      <c r="H13" s="156"/>
      <c r="I13" s="156">
        <v>4</v>
      </c>
      <c r="J13" s="156">
        <v>4</v>
      </c>
      <c r="K13" s="157">
        <f t="shared" si="2"/>
        <v>1000</v>
      </c>
      <c r="L13" s="157">
        <f t="shared" si="3"/>
        <v>0</v>
      </c>
      <c r="M13" s="157">
        <f t="shared" si="4"/>
        <v>2000</v>
      </c>
      <c r="N13" s="157">
        <f t="shared" si="5"/>
        <v>2000</v>
      </c>
      <c r="O13" s="157">
        <f t="shared" si="6"/>
        <v>0</v>
      </c>
      <c r="P13" s="157">
        <f t="shared" si="7"/>
        <v>0</v>
      </c>
      <c r="Q13" s="157">
        <f t="shared" si="8"/>
        <v>0</v>
      </c>
      <c r="R13" s="157">
        <f t="shared" si="9"/>
        <v>0</v>
      </c>
    </row>
    <row r="14" spans="1:18" ht="56.25" customHeight="1" x14ac:dyDescent="0.25">
      <c r="A14" s="115"/>
      <c r="B14" s="157" t="s">
        <v>812</v>
      </c>
      <c r="C14" s="156">
        <v>5</v>
      </c>
      <c r="D14" s="156" t="s">
        <v>805</v>
      </c>
      <c r="E14" s="156">
        <v>5</v>
      </c>
      <c r="F14" s="156">
        <v>150</v>
      </c>
      <c r="G14" s="156">
        <v>20</v>
      </c>
      <c r="H14" s="156">
        <v>20</v>
      </c>
      <c r="I14" s="156">
        <v>100</v>
      </c>
      <c r="J14" s="156">
        <v>135</v>
      </c>
      <c r="K14" s="157">
        <f t="shared" si="2"/>
        <v>3000</v>
      </c>
      <c r="L14" s="157">
        <f t="shared" si="3"/>
        <v>3000</v>
      </c>
      <c r="M14" s="157">
        <f t="shared" si="4"/>
        <v>15000</v>
      </c>
      <c r="N14" s="157">
        <f t="shared" si="5"/>
        <v>20250</v>
      </c>
      <c r="O14" s="157">
        <f t="shared" si="6"/>
        <v>600</v>
      </c>
      <c r="P14" s="157">
        <f t="shared" si="7"/>
        <v>600</v>
      </c>
      <c r="Q14" s="157">
        <f t="shared" si="8"/>
        <v>3000</v>
      </c>
      <c r="R14" s="157">
        <f t="shared" si="9"/>
        <v>4050</v>
      </c>
    </row>
    <row r="15" spans="1:18" x14ac:dyDescent="0.25">
      <c r="A15" s="115"/>
      <c r="B15" s="157" t="s">
        <v>813</v>
      </c>
      <c r="C15" s="156">
        <v>12</v>
      </c>
      <c r="D15" s="156" t="s">
        <v>805</v>
      </c>
      <c r="E15" s="156">
        <v>5</v>
      </c>
      <c r="F15" s="156">
        <v>2000</v>
      </c>
      <c r="G15" s="156">
        <v>0</v>
      </c>
      <c r="H15" s="156"/>
      <c r="I15" s="156">
        <v>1</v>
      </c>
      <c r="J15" s="156">
        <v>1</v>
      </c>
      <c r="K15" s="157">
        <f t="shared" si="2"/>
        <v>0</v>
      </c>
      <c r="L15" s="157">
        <f t="shared" si="3"/>
        <v>0</v>
      </c>
      <c r="M15" s="157">
        <f t="shared" si="4"/>
        <v>2000</v>
      </c>
      <c r="N15" s="157">
        <f t="shared" si="5"/>
        <v>2000</v>
      </c>
      <c r="O15" s="157">
        <f t="shared" si="6"/>
        <v>0</v>
      </c>
      <c r="P15" s="157">
        <f t="shared" si="7"/>
        <v>0</v>
      </c>
      <c r="Q15" s="157">
        <f t="shared" si="8"/>
        <v>400</v>
      </c>
      <c r="R15" s="157">
        <f t="shared" si="9"/>
        <v>400</v>
      </c>
    </row>
    <row r="16" spans="1:18" x14ac:dyDescent="0.25">
      <c r="A16" s="115"/>
      <c r="B16" s="157" t="s">
        <v>814</v>
      </c>
      <c r="C16" s="156">
        <v>14</v>
      </c>
      <c r="D16" s="156" t="s">
        <v>805</v>
      </c>
      <c r="E16" s="156">
        <v>8</v>
      </c>
      <c r="F16" s="156">
        <v>15000</v>
      </c>
      <c r="G16" s="156">
        <v>1</v>
      </c>
      <c r="H16" s="156"/>
      <c r="I16" s="156">
        <v>1</v>
      </c>
      <c r="J16" s="156">
        <v>1</v>
      </c>
      <c r="K16" s="157">
        <f t="shared" si="2"/>
        <v>15000</v>
      </c>
      <c r="L16" s="157">
        <f t="shared" si="3"/>
        <v>0</v>
      </c>
      <c r="M16" s="157">
        <f t="shared" si="4"/>
        <v>15000</v>
      </c>
      <c r="N16" s="157">
        <f t="shared" si="5"/>
        <v>15000</v>
      </c>
      <c r="O16" s="157">
        <f t="shared" si="6"/>
        <v>1875</v>
      </c>
      <c r="P16" s="157">
        <f t="shared" si="7"/>
        <v>0</v>
      </c>
      <c r="Q16" s="157">
        <f t="shared" si="8"/>
        <v>1875</v>
      </c>
      <c r="R16" s="157">
        <f t="shared" si="9"/>
        <v>1875</v>
      </c>
    </row>
    <row r="17" spans="1:18" x14ac:dyDescent="0.25">
      <c r="A17" s="115"/>
      <c r="B17" s="157" t="s">
        <v>815</v>
      </c>
      <c r="C17" s="156">
        <v>5</v>
      </c>
      <c r="D17" s="156" t="s">
        <v>805</v>
      </c>
      <c r="E17" s="156">
        <v>5</v>
      </c>
      <c r="F17" s="156">
        <v>200</v>
      </c>
      <c r="G17" s="156">
        <v>0</v>
      </c>
      <c r="H17" s="156"/>
      <c r="I17" s="156">
        <v>2</v>
      </c>
      <c r="J17" s="156">
        <v>2</v>
      </c>
      <c r="K17" s="157">
        <f t="shared" si="2"/>
        <v>0</v>
      </c>
      <c r="L17" s="157">
        <f t="shared" si="3"/>
        <v>0</v>
      </c>
      <c r="M17" s="157">
        <f t="shared" si="4"/>
        <v>400</v>
      </c>
      <c r="N17" s="157">
        <f t="shared" si="5"/>
        <v>400</v>
      </c>
      <c r="O17" s="157">
        <f t="shared" si="6"/>
        <v>0</v>
      </c>
      <c r="P17" s="157">
        <f t="shared" si="7"/>
        <v>0</v>
      </c>
      <c r="Q17" s="157">
        <f t="shared" si="8"/>
        <v>80</v>
      </c>
      <c r="R17" s="157">
        <f t="shared" si="9"/>
        <v>80</v>
      </c>
    </row>
    <row r="18" spans="1:18" x14ac:dyDescent="0.25">
      <c r="A18" s="115"/>
      <c r="B18" s="157" t="s">
        <v>816</v>
      </c>
      <c r="C18" s="156">
        <v>3</v>
      </c>
      <c r="D18" s="156" t="s">
        <v>803</v>
      </c>
      <c r="E18" s="156"/>
      <c r="F18" s="156">
        <v>1500</v>
      </c>
      <c r="G18" s="156">
        <v>2</v>
      </c>
      <c r="H18" s="156"/>
      <c r="I18" s="156">
        <v>10</v>
      </c>
      <c r="J18" s="156">
        <v>12</v>
      </c>
      <c r="K18" s="157">
        <f t="shared" si="2"/>
        <v>3000</v>
      </c>
      <c r="L18" s="157">
        <f t="shared" si="3"/>
        <v>0</v>
      </c>
      <c r="M18" s="157">
        <f t="shared" si="4"/>
        <v>15000</v>
      </c>
      <c r="N18" s="157">
        <f t="shared" si="5"/>
        <v>18000</v>
      </c>
      <c r="O18" s="157">
        <f t="shared" si="6"/>
        <v>0</v>
      </c>
      <c r="P18" s="157">
        <f t="shared" si="7"/>
        <v>0</v>
      </c>
      <c r="Q18" s="157">
        <f t="shared" si="8"/>
        <v>0</v>
      </c>
      <c r="R18" s="157">
        <f t="shared" si="9"/>
        <v>0</v>
      </c>
    </row>
    <row r="19" spans="1:18" ht="15" customHeight="1" x14ac:dyDescent="0.25">
      <c r="A19" s="115"/>
      <c r="B19" s="157" t="s">
        <v>671</v>
      </c>
      <c r="C19" s="156">
        <v>3</v>
      </c>
      <c r="D19" s="156" t="s">
        <v>803</v>
      </c>
      <c r="E19" s="156"/>
      <c r="F19" s="156">
        <v>4000</v>
      </c>
      <c r="G19" s="156">
        <v>0</v>
      </c>
      <c r="H19" s="156"/>
      <c r="I19" s="156">
        <v>4</v>
      </c>
      <c r="J19" s="156">
        <v>4</v>
      </c>
      <c r="K19" s="157">
        <f t="shared" si="2"/>
        <v>0</v>
      </c>
      <c r="L19" s="157">
        <f t="shared" si="3"/>
        <v>0</v>
      </c>
      <c r="M19" s="157">
        <f t="shared" si="4"/>
        <v>16000</v>
      </c>
      <c r="N19" s="157">
        <f t="shared" si="5"/>
        <v>16000</v>
      </c>
      <c r="O19" s="157">
        <f t="shared" si="6"/>
        <v>0</v>
      </c>
      <c r="P19" s="157">
        <f t="shared" si="7"/>
        <v>0</v>
      </c>
      <c r="Q19" s="157">
        <f t="shared" si="8"/>
        <v>0</v>
      </c>
      <c r="R19" s="157">
        <f t="shared" si="9"/>
        <v>0</v>
      </c>
    </row>
    <row r="20" spans="1:18" x14ac:dyDescent="0.25">
      <c r="A20" s="115"/>
      <c r="B20" s="159" t="s">
        <v>817</v>
      </c>
      <c r="C20" s="160">
        <v>2</v>
      </c>
      <c r="D20" s="160" t="s">
        <v>805</v>
      </c>
      <c r="E20" s="160">
        <v>5</v>
      </c>
      <c r="F20" s="160">
        <v>3500</v>
      </c>
      <c r="G20" s="160">
        <v>1</v>
      </c>
      <c r="H20" s="160"/>
      <c r="I20" s="160">
        <v>2</v>
      </c>
      <c r="J20" s="160">
        <v>2</v>
      </c>
      <c r="K20" s="157">
        <f t="shared" si="2"/>
        <v>3500</v>
      </c>
      <c r="L20" s="157">
        <f t="shared" si="3"/>
        <v>0</v>
      </c>
      <c r="M20" s="157">
        <f t="shared" si="4"/>
        <v>7000</v>
      </c>
      <c r="N20" s="157">
        <f t="shared" si="5"/>
        <v>7000</v>
      </c>
      <c r="O20" s="157">
        <f t="shared" si="6"/>
        <v>700</v>
      </c>
      <c r="P20" s="157">
        <f t="shared" si="7"/>
        <v>0</v>
      </c>
      <c r="Q20" s="157">
        <f t="shared" si="8"/>
        <v>1400</v>
      </c>
      <c r="R20" s="157">
        <f t="shared" si="9"/>
        <v>1400</v>
      </c>
    </row>
    <row r="21" spans="1:18" x14ac:dyDescent="0.25">
      <c r="A21" s="115"/>
      <c r="B21" s="157" t="s">
        <v>818</v>
      </c>
      <c r="C21" s="156">
        <v>6</v>
      </c>
      <c r="D21" s="156" t="s">
        <v>805</v>
      </c>
      <c r="E21" s="156">
        <v>5</v>
      </c>
      <c r="F21" s="156">
        <v>5000</v>
      </c>
      <c r="G21" s="156">
        <v>0</v>
      </c>
      <c r="H21" s="156"/>
      <c r="I21" s="156">
        <v>2</v>
      </c>
      <c r="J21" s="156">
        <v>2</v>
      </c>
      <c r="K21" s="157">
        <f t="shared" si="2"/>
        <v>0</v>
      </c>
      <c r="L21" s="157">
        <f t="shared" si="3"/>
        <v>0</v>
      </c>
      <c r="M21" s="157">
        <f t="shared" si="4"/>
        <v>10000</v>
      </c>
      <c r="N21" s="157">
        <f t="shared" si="5"/>
        <v>10000</v>
      </c>
      <c r="O21" s="157">
        <f t="shared" si="6"/>
        <v>0</v>
      </c>
      <c r="P21" s="157">
        <f t="shared" si="7"/>
        <v>0</v>
      </c>
      <c r="Q21" s="157">
        <f t="shared" si="8"/>
        <v>2000</v>
      </c>
      <c r="R21" s="157">
        <f t="shared" si="9"/>
        <v>2000</v>
      </c>
    </row>
    <row r="22" spans="1:18" x14ac:dyDescent="0.25">
      <c r="A22" s="115"/>
      <c r="B22" s="157" t="s">
        <v>819</v>
      </c>
      <c r="C22" s="156">
        <v>6</v>
      </c>
      <c r="D22" s="156" t="s">
        <v>805</v>
      </c>
      <c r="E22" s="156">
        <v>5</v>
      </c>
      <c r="F22" s="156">
        <v>2000</v>
      </c>
      <c r="G22" s="156">
        <v>0</v>
      </c>
      <c r="H22" s="156"/>
      <c r="I22" s="156">
        <v>2</v>
      </c>
      <c r="J22" s="156">
        <v>2</v>
      </c>
      <c r="K22" s="157">
        <f t="shared" si="2"/>
        <v>0</v>
      </c>
      <c r="L22" s="157">
        <f t="shared" si="3"/>
        <v>0</v>
      </c>
      <c r="M22" s="157">
        <f t="shared" si="4"/>
        <v>4000</v>
      </c>
      <c r="N22" s="157">
        <f t="shared" si="5"/>
        <v>4000</v>
      </c>
      <c r="O22" s="157">
        <f t="shared" si="6"/>
        <v>0</v>
      </c>
      <c r="P22" s="157">
        <f t="shared" si="7"/>
        <v>0</v>
      </c>
      <c r="Q22" s="157">
        <f t="shared" si="8"/>
        <v>800</v>
      </c>
      <c r="R22" s="157">
        <f t="shared" si="9"/>
        <v>800</v>
      </c>
    </row>
    <row r="23" spans="1:18" x14ac:dyDescent="0.25">
      <c r="A23" s="115"/>
      <c r="B23" s="157" t="s">
        <v>701</v>
      </c>
      <c r="C23" s="156">
        <v>11</v>
      </c>
      <c r="D23" s="156" t="s">
        <v>803</v>
      </c>
      <c r="E23" s="156"/>
      <c r="F23" s="156">
        <v>1000</v>
      </c>
      <c r="G23" s="156">
        <v>0</v>
      </c>
      <c r="H23" s="156"/>
      <c r="I23" s="156">
        <v>1</v>
      </c>
      <c r="J23" s="156">
        <v>1</v>
      </c>
      <c r="K23" s="157">
        <f t="shared" si="2"/>
        <v>0</v>
      </c>
      <c r="L23" s="157">
        <f t="shared" si="3"/>
        <v>0</v>
      </c>
      <c r="M23" s="157">
        <f t="shared" si="4"/>
        <v>1000</v>
      </c>
      <c r="N23" s="157">
        <f t="shared" si="5"/>
        <v>1000</v>
      </c>
      <c r="O23" s="157">
        <f t="shared" si="6"/>
        <v>0</v>
      </c>
      <c r="P23" s="157">
        <f t="shared" si="7"/>
        <v>0</v>
      </c>
      <c r="Q23" s="157">
        <f t="shared" si="8"/>
        <v>0</v>
      </c>
      <c r="R23" s="157">
        <f t="shared" si="9"/>
        <v>0</v>
      </c>
    </row>
    <row r="24" spans="1:18" x14ac:dyDescent="0.25">
      <c r="A24" s="115"/>
      <c r="B24" s="157" t="s">
        <v>820</v>
      </c>
      <c r="C24" s="156">
        <v>3</v>
      </c>
      <c r="D24" s="156" t="s">
        <v>803</v>
      </c>
      <c r="E24" s="156"/>
      <c r="F24" s="156">
        <v>500</v>
      </c>
      <c r="G24" s="156">
        <v>0</v>
      </c>
      <c r="H24" s="156"/>
      <c r="I24" s="156">
        <v>40</v>
      </c>
      <c r="J24" s="156">
        <v>40</v>
      </c>
      <c r="K24" s="157">
        <f t="shared" si="2"/>
        <v>0</v>
      </c>
      <c r="L24" s="157">
        <f t="shared" si="3"/>
        <v>0</v>
      </c>
      <c r="M24" s="157">
        <f t="shared" si="4"/>
        <v>20000</v>
      </c>
      <c r="N24" s="157">
        <f t="shared" si="5"/>
        <v>20000</v>
      </c>
      <c r="O24" s="157">
        <f t="shared" si="6"/>
        <v>0</v>
      </c>
      <c r="P24" s="157">
        <f t="shared" si="7"/>
        <v>0</v>
      </c>
      <c r="Q24" s="157">
        <f t="shared" si="8"/>
        <v>0</v>
      </c>
      <c r="R24" s="157">
        <f t="shared" si="9"/>
        <v>0</v>
      </c>
    </row>
    <row r="25" spans="1:18" x14ac:dyDescent="0.25">
      <c r="A25" s="115"/>
      <c r="B25" s="157" t="s">
        <v>670</v>
      </c>
      <c r="C25" s="156">
        <v>3</v>
      </c>
      <c r="D25" s="156" t="s">
        <v>805</v>
      </c>
      <c r="E25" s="156">
        <v>8</v>
      </c>
      <c r="F25" s="156">
        <v>6000</v>
      </c>
      <c r="G25" s="156">
        <v>0</v>
      </c>
      <c r="H25" s="156"/>
      <c r="I25" s="156">
        <v>10</v>
      </c>
      <c r="J25" s="156">
        <v>10</v>
      </c>
      <c r="K25" s="157">
        <f t="shared" si="2"/>
        <v>0</v>
      </c>
      <c r="L25" s="157">
        <f t="shared" si="3"/>
        <v>0</v>
      </c>
      <c r="M25" s="157">
        <f t="shared" si="4"/>
        <v>60000</v>
      </c>
      <c r="N25" s="157">
        <f t="shared" si="5"/>
        <v>60000</v>
      </c>
      <c r="O25" s="157">
        <f t="shared" si="6"/>
        <v>0</v>
      </c>
      <c r="P25" s="157">
        <f t="shared" si="7"/>
        <v>0</v>
      </c>
      <c r="Q25" s="157">
        <f t="shared" si="8"/>
        <v>7500</v>
      </c>
      <c r="R25" s="157">
        <f t="shared" si="9"/>
        <v>7500</v>
      </c>
    </row>
    <row r="26" spans="1:18" x14ac:dyDescent="0.25">
      <c r="A26" s="115"/>
      <c r="B26" s="157" t="s">
        <v>674</v>
      </c>
      <c r="C26" s="156">
        <v>3</v>
      </c>
      <c r="D26" s="156" t="s">
        <v>803</v>
      </c>
      <c r="E26" s="156"/>
      <c r="F26" s="156">
        <v>1000</v>
      </c>
      <c r="G26" s="156">
        <v>0</v>
      </c>
      <c r="H26" s="156"/>
      <c r="I26" s="156">
        <v>20</v>
      </c>
      <c r="J26" s="156">
        <v>20</v>
      </c>
      <c r="K26" s="157">
        <f t="shared" si="2"/>
        <v>0</v>
      </c>
      <c r="L26" s="157">
        <f t="shared" si="3"/>
        <v>0</v>
      </c>
      <c r="M26" s="157">
        <f t="shared" si="4"/>
        <v>20000</v>
      </c>
      <c r="N26" s="157">
        <f t="shared" si="5"/>
        <v>20000</v>
      </c>
      <c r="O26" s="157">
        <f t="shared" si="6"/>
        <v>0</v>
      </c>
      <c r="P26" s="157">
        <f t="shared" si="7"/>
        <v>0</v>
      </c>
      <c r="Q26" s="157">
        <f t="shared" si="8"/>
        <v>0</v>
      </c>
      <c r="R26" s="157">
        <f t="shared" si="9"/>
        <v>0</v>
      </c>
    </row>
    <row r="27" spans="1:18" x14ac:dyDescent="0.25">
      <c r="A27" s="115"/>
      <c r="B27" s="157" t="s">
        <v>821</v>
      </c>
      <c r="C27" s="156">
        <v>5</v>
      </c>
      <c r="D27" s="156" t="s">
        <v>805</v>
      </c>
      <c r="E27" s="156">
        <v>5</v>
      </c>
      <c r="F27" s="156">
        <v>500</v>
      </c>
      <c r="G27" s="156">
        <v>1</v>
      </c>
      <c r="H27" s="156"/>
      <c r="I27" s="156">
        <v>4</v>
      </c>
      <c r="J27" s="156">
        <v>4</v>
      </c>
      <c r="K27" s="157">
        <f t="shared" si="2"/>
        <v>500</v>
      </c>
      <c r="L27" s="157">
        <f t="shared" si="3"/>
        <v>0</v>
      </c>
      <c r="M27" s="157">
        <f t="shared" si="4"/>
        <v>2000</v>
      </c>
      <c r="N27" s="157">
        <f t="shared" si="5"/>
        <v>2000</v>
      </c>
      <c r="O27" s="157">
        <f t="shared" si="6"/>
        <v>100</v>
      </c>
      <c r="P27" s="157">
        <f t="shared" si="7"/>
        <v>0</v>
      </c>
      <c r="Q27" s="157">
        <f t="shared" si="8"/>
        <v>400</v>
      </c>
      <c r="R27" s="157">
        <f t="shared" si="9"/>
        <v>400</v>
      </c>
    </row>
    <row r="28" spans="1:18" x14ac:dyDescent="0.25">
      <c r="A28" s="115"/>
      <c r="B28" s="157" t="s">
        <v>822</v>
      </c>
      <c r="C28" s="156">
        <v>13</v>
      </c>
      <c r="D28" s="156" t="s">
        <v>805</v>
      </c>
      <c r="E28" s="156">
        <v>5</v>
      </c>
      <c r="F28" s="156">
        <v>2500</v>
      </c>
      <c r="G28" s="156">
        <v>2</v>
      </c>
      <c r="H28" s="156"/>
      <c r="I28" s="156">
        <v>4</v>
      </c>
      <c r="J28" s="156">
        <v>4</v>
      </c>
      <c r="K28" s="157">
        <f t="shared" si="2"/>
        <v>5000</v>
      </c>
      <c r="L28" s="157">
        <f t="shared" si="3"/>
        <v>0</v>
      </c>
      <c r="M28" s="157">
        <f t="shared" si="4"/>
        <v>10000</v>
      </c>
      <c r="N28" s="157">
        <f t="shared" si="5"/>
        <v>10000</v>
      </c>
      <c r="O28" s="157">
        <f t="shared" si="6"/>
        <v>1000</v>
      </c>
      <c r="P28" s="157">
        <f t="shared" si="7"/>
        <v>0</v>
      </c>
      <c r="Q28" s="157">
        <f t="shared" si="8"/>
        <v>2000</v>
      </c>
      <c r="R28" s="157">
        <f t="shared" si="9"/>
        <v>2000</v>
      </c>
    </row>
    <row r="29" spans="1:18" x14ac:dyDescent="0.25">
      <c r="A29" s="115"/>
      <c r="B29" s="157" t="s">
        <v>823</v>
      </c>
      <c r="C29" s="156">
        <v>3</v>
      </c>
      <c r="D29" s="156" t="s">
        <v>805</v>
      </c>
      <c r="E29" s="156">
        <v>5</v>
      </c>
      <c r="F29" s="156">
        <v>2500</v>
      </c>
      <c r="G29" s="156">
        <v>0</v>
      </c>
      <c r="H29" s="156"/>
      <c r="I29" s="156">
        <v>10</v>
      </c>
      <c r="J29" s="156">
        <v>10</v>
      </c>
      <c r="K29" s="157">
        <f t="shared" si="2"/>
        <v>0</v>
      </c>
      <c r="L29" s="157">
        <f t="shared" si="3"/>
        <v>0</v>
      </c>
      <c r="M29" s="157">
        <f t="shared" si="4"/>
        <v>25000</v>
      </c>
      <c r="N29" s="157">
        <f t="shared" si="5"/>
        <v>25000</v>
      </c>
      <c r="O29" s="157">
        <f t="shared" si="6"/>
        <v>0</v>
      </c>
      <c r="P29" s="157">
        <f t="shared" si="7"/>
        <v>0</v>
      </c>
      <c r="Q29" s="157">
        <f t="shared" si="8"/>
        <v>5000</v>
      </c>
      <c r="R29" s="157">
        <f t="shared" si="9"/>
        <v>5000</v>
      </c>
    </row>
    <row r="30" spans="1:18" x14ac:dyDescent="0.25">
      <c r="A30" s="115"/>
      <c r="B30" s="157" t="s">
        <v>824</v>
      </c>
      <c r="C30" s="156">
        <v>5</v>
      </c>
      <c r="D30" s="156" t="s">
        <v>805</v>
      </c>
      <c r="E30" s="156">
        <v>8</v>
      </c>
      <c r="F30" s="156">
        <v>50000</v>
      </c>
      <c r="G30" s="156">
        <v>0</v>
      </c>
      <c r="H30" s="156"/>
      <c r="I30" s="156">
        <v>0</v>
      </c>
      <c r="J30" s="156">
        <v>1</v>
      </c>
      <c r="K30" s="157">
        <f t="shared" si="2"/>
        <v>0</v>
      </c>
      <c r="L30" s="157">
        <f t="shared" si="3"/>
        <v>0</v>
      </c>
      <c r="M30" s="157">
        <f t="shared" si="4"/>
        <v>0</v>
      </c>
      <c r="N30" s="157">
        <f t="shared" si="5"/>
        <v>50000</v>
      </c>
      <c r="O30" s="157">
        <f t="shared" si="6"/>
        <v>0</v>
      </c>
      <c r="P30" s="157">
        <f t="shared" si="7"/>
        <v>0</v>
      </c>
      <c r="Q30" s="157">
        <f t="shared" si="8"/>
        <v>0</v>
      </c>
      <c r="R30" s="157">
        <f t="shared" si="9"/>
        <v>6250</v>
      </c>
    </row>
    <row r="31" spans="1:18" x14ac:dyDescent="0.25">
      <c r="A31" s="115"/>
      <c r="B31" s="157" t="s">
        <v>686</v>
      </c>
      <c r="C31" s="156">
        <v>10</v>
      </c>
      <c r="D31" s="156" t="s">
        <v>805</v>
      </c>
      <c r="E31" s="156">
        <v>8</v>
      </c>
      <c r="F31" s="156">
        <v>80000</v>
      </c>
      <c r="G31" s="156">
        <v>1</v>
      </c>
      <c r="H31" s="156">
        <v>1</v>
      </c>
      <c r="I31" s="156">
        <v>1</v>
      </c>
      <c r="J31" s="156">
        <v>1</v>
      </c>
      <c r="K31" s="157">
        <f t="shared" si="2"/>
        <v>80000</v>
      </c>
      <c r="L31" s="157">
        <f t="shared" si="3"/>
        <v>80000</v>
      </c>
      <c r="M31" s="157">
        <f t="shared" si="4"/>
        <v>80000</v>
      </c>
      <c r="N31" s="157">
        <f t="shared" si="5"/>
        <v>80000</v>
      </c>
      <c r="O31" s="157">
        <f t="shared" si="6"/>
        <v>10000</v>
      </c>
      <c r="P31" s="157">
        <f t="shared" si="7"/>
        <v>10000</v>
      </c>
      <c r="Q31" s="157">
        <f t="shared" si="8"/>
        <v>10000</v>
      </c>
      <c r="R31" s="157">
        <f t="shared" si="9"/>
        <v>10000</v>
      </c>
    </row>
    <row r="32" spans="1:18" x14ac:dyDescent="0.25">
      <c r="A32" s="115"/>
      <c r="B32" s="157" t="s">
        <v>825</v>
      </c>
      <c r="C32" s="156">
        <v>10</v>
      </c>
      <c r="D32" s="156" t="s">
        <v>805</v>
      </c>
      <c r="E32" s="156">
        <v>8</v>
      </c>
      <c r="F32" s="156">
        <v>300000</v>
      </c>
      <c r="G32" s="156">
        <v>0</v>
      </c>
      <c r="H32" s="156">
        <v>1</v>
      </c>
      <c r="I32" s="156">
        <v>1</v>
      </c>
      <c r="J32" s="156">
        <v>1</v>
      </c>
      <c r="K32" s="157">
        <f t="shared" si="2"/>
        <v>0</v>
      </c>
      <c r="L32" s="157">
        <f t="shared" si="3"/>
        <v>300000</v>
      </c>
      <c r="M32" s="157">
        <f t="shared" si="4"/>
        <v>300000</v>
      </c>
      <c r="N32" s="157">
        <f t="shared" si="5"/>
        <v>300000</v>
      </c>
      <c r="O32" s="157">
        <f t="shared" si="6"/>
        <v>0</v>
      </c>
      <c r="P32" s="157">
        <f t="shared" si="7"/>
        <v>37500</v>
      </c>
      <c r="Q32" s="157">
        <f t="shared" si="8"/>
        <v>37500</v>
      </c>
      <c r="R32" s="157">
        <f t="shared" si="9"/>
        <v>37500</v>
      </c>
    </row>
    <row r="33" spans="1:18" x14ac:dyDescent="0.25">
      <c r="A33" s="115"/>
      <c r="B33" s="159" t="s">
        <v>826</v>
      </c>
      <c r="C33" s="160">
        <v>2</v>
      </c>
      <c r="D33" s="160" t="s">
        <v>803</v>
      </c>
      <c r="E33" s="160"/>
      <c r="F33" s="160">
        <v>1000</v>
      </c>
      <c r="G33" s="160">
        <v>4</v>
      </c>
      <c r="H33" s="160"/>
      <c r="I33" s="160">
        <v>6</v>
      </c>
      <c r="J33" s="160">
        <v>6</v>
      </c>
      <c r="K33" s="157">
        <f t="shared" si="2"/>
        <v>4000</v>
      </c>
      <c r="L33" s="157">
        <f t="shared" si="3"/>
        <v>0</v>
      </c>
      <c r="M33" s="157">
        <f t="shared" si="4"/>
        <v>6000</v>
      </c>
      <c r="N33" s="157">
        <f t="shared" si="5"/>
        <v>6000</v>
      </c>
      <c r="O33" s="157">
        <f t="shared" si="6"/>
        <v>0</v>
      </c>
      <c r="P33" s="157">
        <f t="shared" si="7"/>
        <v>0</v>
      </c>
      <c r="Q33" s="157">
        <f t="shared" si="8"/>
        <v>0</v>
      </c>
      <c r="R33" s="157">
        <f t="shared" si="9"/>
        <v>0</v>
      </c>
    </row>
    <row r="34" spans="1:18" x14ac:dyDescent="0.25">
      <c r="A34" s="115"/>
      <c r="B34" s="157" t="s">
        <v>827</v>
      </c>
      <c r="C34" s="156">
        <v>8</v>
      </c>
      <c r="D34" s="156" t="s">
        <v>805</v>
      </c>
      <c r="E34" s="156">
        <v>8</v>
      </c>
      <c r="F34" s="156">
        <v>50000</v>
      </c>
      <c r="G34" s="156">
        <v>0</v>
      </c>
      <c r="H34" s="156"/>
      <c r="I34" s="156">
        <v>0</v>
      </c>
      <c r="J34" s="156">
        <v>1</v>
      </c>
      <c r="K34" s="157">
        <f t="shared" si="2"/>
        <v>0</v>
      </c>
      <c r="L34" s="157">
        <f t="shared" si="3"/>
        <v>0</v>
      </c>
      <c r="M34" s="157">
        <f t="shared" si="4"/>
        <v>0</v>
      </c>
      <c r="N34" s="157">
        <f t="shared" si="5"/>
        <v>50000</v>
      </c>
      <c r="O34" s="157">
        <f t="shared" si="6"/>
        <v>0</v>
      </c>
      <c r="P34" s="157">
        <f t="shared" si="7"/>
        <v>0</v>
      </c>
      <c r="Q34" s="157">
        <f t="shared" si="8"/>
        <v>0</v>
      </c>
      <c r="R34" s="157">
        <f t="shared" si="9"/>
        <v>6250</v>
      </c>
    </row>
    <row r="35" spans="1:18" x14ac:dyDescent="0.25">
      <c r="A35" s="115"/>
      <c r="B35" s="157" t="s">
        <v>828</v>
      </c>
      <c r="C35" s="156">
        <v>10</v>
      </c>
      <c r="D35" s="156" t="s">
        <v>805</v>
      </c>
      <c r="E35" s="156">
        <v>5</v>
      </c>
      <c r="F35" s="156">
        <v>3000</v>
      </c>
      <c r="G35" s="156">
        <v>1</v>
      </c>
      <c r="H35" s="156"/>
      <c r="I35" s="156">
        <v>1</v>
      </c>
      <c r="J35" s="156">
        <v>1</v>
      </c>
      <c r="K35" s="157">
        <f t="shared" si="2"/>
        <v>3000</v>
      </c>
      <c r="L35" s="157">
        <f t="shared" si="3"/>
        <v>0</v>
      </c>
      <c r="M35" s="157">
        <f t="shared" si="4"/>
        <v>3000</v>
      </c>
      <c r="N35" s="157">
        <f t="shared" si="5"/>
        <v>3000</v>
      </c>
      <c r="O35" s="157">
        <f t="shared" si="6"/>
        <v>600</v>
      </c>
      <c r="P35" s="157">
        <f t="shared" si="7"/>
        <v>0</v>
      </c>
      <c r="Q35" s="157">
        <f t="shared" si="8"/>
        <v>600</v>
      </c>
      <c r="R35" s="157">
        <f t="shared" si="9"/>
        <v>600</v>
      </c>
    </row>
    <row r="36" spans="1:18" x14ac:dyDescent="0.25">
      <c r="A36" s="115"/>
      <c r="B36" s="157" t="s">
        <v>829</v>
      </c>
      <c r="C36" s="156">
        <v>5</v>
      </c>
      <c r="D36" s="156" t="s">
        <v>803</v>
      </c>
      <c r="E36" s="156"/>
      <c r="F36" s="156">
        <v>300</v>
      </c>
      <c r="G36" s="156">
        <v>2</v>
      </c>
      <c r="H36" s="156"/>
      <c r="I36" s="156">
        <v>4</v>
      </c>
      <c r="J36" s="156">
        <v>4</v>
      </c>
      <c r="K36" s="157">
        <f t="shared" si="2"/>
        <v>600</v>
      </c>
      <c r="L36" s="157">
        <f t="shared" si="3"/>
        <v>0</v>
      </c>
      <c r="M36" s="157">
        <f t="shared" si="4"/>
        <v>1200</v>
      </c>
      <c r="N36" s="157">
        <f t="shared" si="5"/>
        <v>1200</v>
      </c>
      <c r="O36" s="157">
        <f t="shared" si="6"/>
        <v>0</v>
      </c>
      <c r="P36" s="157">
        <f t="shared" si="7"/>
        <v>0</v>
      </c>
      <c r="Q36" s="157">
        <f t="shared" si="8"/>
        <v>0</v>
      </c>
      <c r="R36" s="157">
        <f t="shared" si="9"/>
        <v>0</v>
      </c>
    </row>
    <row r="37" spans="1:18" x14ac:dyDescent="0.25">
      <c r="A37" s="115"/>
      <c r="B37" s="157" t="s">
        <v>830</v>
      </c>
      <c r="C37" s="156">
        <v>8</v>
      </c>
      <c r="D37" s="156" t="s">
        <v>805</v>
      </c>
      <c r="E37" s="156">
        <v>10</v>
      </c>
      <c r="F37" s="156">
        <v>1000000</v>
      </c>
      <c r="G37" s="156">
        <v>0</v>
      </c>
      <c r="H37" s="156"/>
      <c r="I37" s="156">
        <v>0</v>
      </c>
      <c r="J37" s="156">
        <v>1</v>
      </c>
      <c r="K37" s="157">
        <f t="shared" si="2"/>
        <v>0</v>
      </c>
      <c r="L37" s="157">
        <f t="shared" si="3"/>
        <v>0</v>
      </c>
      <c r="M37" s="157">
        <f t="shared" si="4"/>
        <v>0</v>
      </c>
      <c r="N37" s="157">
        <f t="shared" si="5"/>
        <v>1000000</v>
      </c>
      <c r="O37" s="157">
        <f t="shared" si="6"/>
        <v>0</v>
      </c>
      <c r="P37" s="157">
        <f t="shared" si="7"/>
        <v>0</v>
      </c>
      <c r="Q37" s="157">
        <f t="shared" si="8"/>
        <v>0</v>
      </c>
      <c r="R37" s="157">
        <f t="shared" si="9"/>
        <v>100000</v>
      </c>
    </row>
    <row r="38" spans="1:18" x14ac:dyDescent="0.25">
      <c r="A38" s="115"/>
      <c r="B38" s="157" t="s">
        <v>831</v>
      </c>
      <c r="C38" s="156">
        <v>8</v>
      </c>
      <c r="D38" s="156" t="s">
        <v>805</v>
      </c>
      <c r="E38" s="156">
        <v>5</v>
      </c>
      <c r="F38" s="156">
        <v>5000</v>
      </c>
      <c r="G38" s="156">
        <v>0</v>
      </c>
      <c r="H38" s="156"/>
      <c r="I38" s="156">
        <v>0</v>
      </c>
      <c r="J38" s="156">
        <v>1</v>
      </c>
      <c r="K38" s="157">
        <f t="shared" si="2"/>
        <v>0</v>
      </c>
      <c r="L38" s="157">
        <f t="shared" si="3"/>
        <v>0</v>
      </c>
      <c r="M38" s="157">
        <f t="shared" si="4"/>
        <v>0</v>
      </c>
      <c r="N38" s="157">
        <f t="shared" si="5"/>
        <v>5000</v>
      </c>
      <c r="O38" s="157">
        <f t="shared" si="6"/>
        <v>0</v>
      </c>
      <c r="P38" s="157">
        <f t="shared" si="7"/>
        <v>0</v>
      </c>
      <c r="Q38" s="157">
        <f t="shared" si="8"/>
        <v>0</v>
      </c>
      <c r="R38" s="157">
        <f t="shared" si="9"/>
        <v>1000</v>
      </c>
    </row>
    <row r="39" spans="1:18" x14ac:dyDescent="0.25">
      <c r="A39" s="115"/>
      <c r="B39" s="159" t="s">
        <v>663</v>
      </c>
      <c r="C39" s="160">
        <v>2</v>
      </c>
      <c r="D39" s="160" t="s">
        <v>803</v>
      </c>
      <c r="E39" s="160"/>
      <c r="F39" s="160">
        <v>350</v>
      </c>
      <c r="G39" s="160">
        <v>2</v>
      </c>
      <c r="H39" s="160"/>
      <c r="I39" s="160">
        <v>8</v>
      </c>
      <c r="J39" s="160">
        <v>8</v>
      </c>
      <c r="K39" s="157">
        <f t="shared" si="2"/>
        <v>700</v>
      </c>
      <c r="L39" s="157">
        <f t="shared" si="3"/>
        <v>0</v>
      </c>
      <c r="M39" s="157">
        <f t="shared" si="4"/>
        <v>2800</v>
      </c>
      <c r="N39" s="157">
        <f t="shared" si="5"/>
        <v>2800</v>
      </c>
      <c r="O39" s="157">
        <f t="shared" si="6"/>
        <v>0</v>
      </c>
      <c r="P39" s="157">
        <f t="shared" si="7"/>
        <v>0</v>
      </c>
      <c r="Q39" s="157">
        <f t="shared" si="8"/>
        <v>0</v>
      </c>
      <c r="R39" s="157">
        <f t="shared" si="9"/>
        <v>0</v>
      </c>
    </row>
    <row r="40" spans="1:18" x14ac:dyDescent="0.25">
      <c r="A40" s="115"/>
      <c r="B40" s="157" t="s">
        <v>832</v>
      </c>
      <c r="C40" s="156">
        <v>5</v>
      </c>
      <c r="D40" s="156" t="s">
        <v>805</v>
      </c>
      <c r="E40" s="156">
        <v>3</v>
      </c>
      <c r="F40" s="156">
        <v>1500</v>
      </c>
      <c r="G40" s="156">
        <v>3</v>
      </c>
      <c r="H40" s="156">
        <v>1</v>
      </c>
      <c r="I40" s="156">
        <v>6</v>
      </c>
      <c r="J40" s="156">
        <v>6</v>
      </c>
      <c r="K40" s="157">
        <f t="shared" si="2"/>
        <v>4500</v>
      </c>
      <c r="L40" s="157">
        <f t="shared" si="3"/>
        <v>1500</v>
      </c>
      <c r="M40" s="157">
        <f t="shared" si="4"/>
        <v>9000</v>
      </c>
      <c r="N40" s="157">
        <f t="shared" si="5"/>
        <v>9000</v>
      </c>
      <c r="O40" s="157">
        <f t="shared" si="6"/>
        <v>1500</v>
      </c>
      <c r="P40" s="157">
        <f t="shared" si="7"/>
        <v>500</v>
      </c>
      <c r="Q40" s="157">
        <f t="shared" si="8"/>
        <v>3000</v>
      </c>
      <c r="R40" s="157">
        <f t="shared" si="9"/>
        <v>3000</v>
      </c>
    </row>
    <row r="41" spans="1:18" x14ac:dyDescent="0.25">
      <c r="A41" s="115"/>
      <c r="B41" s="157" t="s">
        <v>833</v>
      </c>
      <c r="C41" s="156">
        <v>6</v>
      </c>
      <c r="D41" s="156" t="s">
        <v>803</v>
      </c>
      <c r="E41" s="156"/>
      <c r="F41" s="156">
        <v>200</v>
      </c>
      <c r="G41" s="156">
        <v>0</v>
      </c>
      <c r="H41" s="156"/>
      <c r="I41" s="156">
        <v>3</v>
      </c>
      <c r="J41" s="156">
        <v>3</v>
      </c>
      <c r="K41" s="157">
        <f t="shared" si="2"/>
        <v>0</v>
      </c>
      <c r="L41" s="157">
        <f t="shared" si="3"/>
        <v>0</v>
      </c>
      <c r="M41" s="157">
        <f t="shared" si="4"/>
        <v>600</v>
      </c>
      <c r="N41" s="157">
        <f t="shared" si="5"/>
        <v>600</v>
      </c>
      <c r="O41" s="157">
        <f t="shared" si="6"/>
        <v>0</v>
      </c>
      <c r="P41" s="157">
        <f t="shared" si="7"/>
        <v>0</v>
      </c>
      <c r="Q41" s="157">
        <f t="shared" si="8"/>
        <v>0</v>
      </c>
      <c r="R41" s="157">
        <f t="shared" si="9"/>
        <v>0</v>
      </c>
    </row>
    <row r="42" spans="1:18" x14ac:dyDescent="0.25">
      <c r="A42" s="115"/>
      <c r="B42" s="157" t="s">
        <v>834</v>
      </c>
      <c r="C42" s="156">
        <v>6</v>
      </c>
      <c r="D42" s="156" t="s">
        <v>803</v>
      </c>
      <c r="E42" s="156"/>
      <c r="F42" s="156">
        <v>200</v>
      </c>
      <c r="G42" s="156">
        <v>0</v>
      </c>
      <c r="H42" s="156"/>
      <c r="I42" s="156">
        <v>2</v>
      </c>
      <c r="J42" s="156">
        <v>2</v>
      </c>
      <c r="K42" s="157">
        <f t="shared" si="2"/>
        <v>0</v>
      </c>
      <c r="L42" s="157">
        <f t="shared" si="3"/>
        <v>0</v>
      </c>
      <c r="M42" s="157">
        <f t="shared" si="4"/>
        <v>400</v>
      </c>
      <c r="N42" s="157">
        <f t="shared" si="5"/>
        <v>400</v>
      </c>
      <c r="O42" s="157">
        <f t="shared" si="6"/>
        <v>0</v>
      </c>
      <c r="P42" s="157">
        <f t="shared" si="7"/>
        <v>0</v>
      </c>
      <c r="Q42" s="157">
        <f t="shared" si="8"/>
        <v>0</v>
      </c>
      <c r="R42" s="157">
        <f t="shared" si="9"/>
        <v>0</v>
      </c>
    </row>
    <row r="43" spans="1:18" x14ac:dyDescent="0.25">
      <c r="A43" s="115"/>
      <c r="B43" s="159" t="s">
        <v>666</v>
      </c>
      <c r="C43" s="160">
        <v>2</v>
      </c>
      <c r="D43" s="160" t="s">
        <v>805</v>
      </c>
      <c r="E43" s="160">
        <v>5</v>
      </c>
      <c r="F43" s="160">
        <v>2000</v>
      </c>
      <c r="G43" s="160">
        <v>1</v>
      </c>
      <c r="H43" s="160"/>
      <c r="I43" s="160">
        <v>2</v>
      </c>
      <c r="J43" s="160">
        <v>2</v>
      </c>
      <c r="K43" s="157">
        <f t="shared" si="2"/>
        <v>2000</v>
      </c>
      <c r="L43" s="157">
        <f t="shared" si="3"/>
        <v>0</v>
      </c>
      <c r="M43" s="157">
        <f t="shared" si="4"/>
        <v>4000</v>
      </c>
      <c r="N43" s="157">
        <f t="shared" si="5"/>
        <v>4000</v>
      </c>
      <c r="O43" s="157">
        <f t="shared" si="6"/>
        <v>400</v>
      </c>
      <c r="P43" s="157">
        <f t="shared" si="7"/>
        <v>0</v>
      </c>
      <c r="Q43" s="157">
        <f t="shared" si="8"/>
        <v>800</v>
      </c>
      <c r="R43" s="157">
        <f t="shared" si="9"/>
        <v>800</v>
      </c>
    </row>
    <row r="44" spans="1:18" x14ac:dyDescent="0.25">
      <c r="A44" s="115"/>
      <c r="B44" s="157" t="s">
        <v>835</v>
      </c>
      <c r="C44" s="156">
        <v>5</v>
      </c>
      <c r="D44" s="156" t="s">
        <v>803</v>
      </c>
      <c r="E44" s="156"/>
      <c r="F44" s="156">
        <v>125</v>
      </c>
      <c r="G44" s="156">
        <v>1</v>
      </c>
      <c r="H44" s="156"/>
      <c r="I44" s="156">
        <v>3</v>
      </c>
      <c r="J44" s="156">
        <v>3</v>
      </c>
      <c r="K44" s="157">
        <f t="shared" si="2"/>
        <v>125</v>
      </c>
      <c r="L44" s="157">
        <f t="shared" si="3"/>
        <v>0</v>
      </c>
      <c r="M44" s="157">
        <f t="shared" si="4"/>
        <v>375</v>
      </c>
      <c r="N44" s="157">
        <f t="shared" si="5"/>
        <v>375</v>
      </c>
      <c r="O44" s="157">
        <f t="shared" si="6"/>
        <v>0</v>
      </c>
      <c r="P44" s="157">
        <f t="shared" si="7"/>
        <v>0</v>
      </c>
      <c r="Q44" s="157">
        <f t="shared" si="8"/>
        <v>0</v>
      </c>
      <c r="R44" s="157">
        <f t="shared" si="9"/>
        <v>0</v>
      </c>
    </row>
    <row r="45" spans="1:18" x14ac:dyDescent="0.25">
      <c r="A45" s="115"/>
      <c r="B45" s="157" t="s">
        <v>683</v>
      </c>
      <c r="C45" s="156">
        <v>10</v>
      </c>
      <c r="D45" s="156" t="s">
        <v>805</v>
      </c>
      <c r="E45" s="156">
        <v>8</v>
      </c>
      <c r="F45" s="156">
        <v>100000</v>
      </c>
      <c r="G45" s="156">
        <v>1</v>
      </c>
      <c r="H45" s="156">
        <v>1</v>
      </c>
      <c r="I45" s="156">
        <v>1</v>
      </c>
      <c r="J45" s="156">
        <v>1</v>
      </c>
      <c r="K45" s="157">
        <f t="shared" si="2"/>
        <v>100000</v>
      </c>
      <c r="L45" s="157">
        <f t="shared" si="3"/>
        <v>100000</v>
      </c>
      <c r="M45" s="157">
        <f t="shared" si="4"/>
        <v>100000</v>
      </c>
      <c r="N45" s="157">
        <f t="shared" si="5"/>
        <v>100000</v>
      </c>
      <c r="O45" s="157">
        <f t="shared" si="6"/>
        <v>12500</v>
      </c>
      <c r="P45" s="157">
        <f t="shared" si="7"/>
        <v>12500</v>
      </c>
      <c r="Q45" s="157">
        <f t="shared" si="8"/>
        <v>12500</v>
      </c>
      <c r="R45" s="157">
        <f t="shared" si="9"/>
        <v>12500</v>
      </c>
    </row>
    <row r="46" spans="1:18" x14ac:dyDescent="0.25">
      <c r="A46" s="115"/>
      <c r="B46" s="157" t="s">
        <v>836</v>
      </c>
      <c r="C46" s="156">
        <v>10</v>
      </c>
      <c r="D46" s="156" t="s">
        <v>803</v>
      </c>
      <c r="E46" s="156"/>
      <c r="F46" s="156">
        <v>100</v>
      </c>
      <c r="G46" s="156">
        <v>6</v>
      </c>
      <c r="H46" s="156"/>
      <c r="I46" s="156">
        <v>12</v>
      </c>
      <c r="J46" s="156">
        <v>12</v>
      </c>
      <c r="K46" s="157">
        <f t="shared" si="2"/>
        <v>600</v>
      </c>
      <c r="L46" s="157">
        <f t="shared" si="3"/>
        <v>0</v>
      </c>
      <c r="M46" s="157">
        <f t="shared" si="4"/>
        <v>1200</v>
      </c>
      <c r="N46" s="157">
        <f t="shared" si="5"/>
        <v>1200</v>
      </c>
      <c r="O46" s="157">
        <f t="shared" si="6"/>
        <v>0</v>
      </c>
      <c r="P46" s="157">
        <f t="shared" si="7"/>
        <v>0</v>
      </c>
      <c r="Q46" s="157">
        <f t="shared" si="8"/>
        <v>0</v>
      </c>
      <c r="R46" s="157">
        <f t="shared" si="9"/>
        <v>0</v>
      </c>
    </row>
    <row r="47" spans="1:18" ht="15" customHeight="1" x14ac:dyDescent="0.25">
      <c r="A47" s="115"/>
      <c r="B47" s="157" t="s">
        <v>837</v>
      </c>
      <c r="C47" s="156">
        <v>10</v>
      </c>
      <c r="D47" s="156" t="s">
        <v>803</v>
      </c>
      <c r="E47" s="156"/>
      <c r="F47" s="156">
        <v>50</v>
      </c>
      <c r="G47" s="156">
        <v>6</v>
      </c>
      <c r="H47" s="156"/>
      <c r="I47" s="156">
        <v>12</v>
      </c>
      <c r="J47" s="156">
        <v>12</v>
      </c>
      <c r="K47" s="157">
        <f t="shared" si="2"/>
        <v>300</v>
      </c>
      <c r="L47" s="157">
        <f t="shared" si="3"/>
        <v>0</v>
      </c>
      <c r="M47" s="157">
        <f t="shared" si="4"/>
        <v>600</v>
      </c>
      <c r="N47" s="157">
        <f t="shared" si="5"/>
        <v>600</v>
      </c>
      <c r="O47" s="157">
        <f t="shared" si="6"/>
        <v>0</v>
      </c>
      <c r="P47" s="157">
        <f t="shared" si="7"/>
        <v>0</v>
      </c>
      <c r="Q47" s="157">
        <f t="shared" si="8"/>
        <v>0</v>
      </c>
      <c r="R47" s="157">
        <f t="shared" si="9"/>
        <v>0</v>
      </c>
    </row>
    <row r="48" spans="1:18" x14ac:dyDescent="0.25">
      <c r="A48" s="115"/>
      <c r="B48" s="159" t="s">
        <v>838</v>
      </c>
      <c r="C48" s="160">
        <v>2</v>
      </c>
      <c r="D48" s="160" t="s">
        <v>805</v>
      </c>
      <c r="E48" s="160">
        <v>5</v>
      </c>
      <c r="F48" s="160">
        <v>1000</v>
      </c>
      <c r="G48" s="160">
        <v>1</v>
      </c>
      <c r="H48" s="160"/>
      <c r="I48" s="160">
        <v>1</v>
      </c>
      <c r="J48" s="160">
        <v>1</v>
      </c>
      <c r="K48" s="157">
        <f t="shared" si="2"/>
        <v>1000</v>
      </c>
      <c r="L48" s="157">
        <f t="shared" si="3"/>
        <v>0</v>
      </c>
      <c r="M48" s="157">
        <f t="shared" si="4"/>
        <v>1000</v>
      </c>
      <c r="N48" s="157">
        <f t="shared" si="5"/>
        <v>1000</v>
      </c>
      <c r="O48" s="157">
        <f t="shared" si="6"/>
        <v>200</v>
      </c>
      <c r="P48" s="157">
        <f t="shared" si="7"/>
        <v>0</v>
      </c>
      <c r="Q48" s="157">
        <f t="shared" si="8"/>
        <v>200</v>
      </c>
      <c r="R48" s="157">
        <f t="shared" si="9"/>
        <v>200</v>
      </c>
    </row>
    <row r="49" spans="1:18" x14ac:dyDescent="0.25">
      <c r="A49" s="115"/>
      <c r="B49" s="161" t="s">
        <v>839</v>
      </c>
      <c r="C49" s="160">
        <v>2</v>
      </c>
      <c r="D49" s="160" t="s">
        <v>805</v>
      </c>
      <c r="E49" s="160">
        <v>5</v>
      </c>
      <c r="F49" s="160">
        <v>500</v>
      </c>
      <c r="G49" s="160">
        <v>2</v>
      </c>
      <c r="H49" s="160"/>
      <c r="I49" s="160">
        <v>4</v>
      </c>
      <c r="J49" s="160">
        <v>4</v>
      </c>
      <c r="K49" s="157">
        <f t="shared" si="2"/>
        <v>1000</v>
      </c>
      <c r="L49" s="157">
        <f t="shared" si="3"/>
        <v>0</v>
      </c>
      <c r="M49" s="157">
        <f t="shared" si="4"/>
        <v>2000</v>
      </c>
      <c r="N49" s="157">
        <f t="shared" si="5"/>
        <v>2000</v>
      </c>
      <c r="O49" s="157">
        <f t="shared" si="6"/>
        <v>200</v>
      </c>
      <c r="P49" s="157">
        <f t="shared" si="7"/>
        <v>0</v>
      </c>
      <c r="Q49" s="157">
        <f t="shared" si="8"/>
        <v>400</v>
      </c>
      <c r="R49" s="157">
        <f t="shared" si="9"/>
        <v>400</v>
      </c>
    </row>
    <row r="50" spans="1:18" x14ac:dyDescent="0.25">
      <c r="A50" s="115"/>
      <c r="B50" s="157" t="s">
        <v>840</v>
      </c>
      <c r="C50" s="156">
        <v>5</v>
      </c>
      <c r="D50" s="156" t="s">
        <v>803</v>
      </c>
      <c r="E50" s="156"/>
      <c r="F50" s="156">
        <v>1500</v>
      </c>
      <c r="G50" s="156">
        <v>2</v>
      </c>
      <c r="H50" s="156"/>
      <c r="I50" s="156">
        <v>4</v>
      </c>
      <c r="J50" s="156">
        <v>4</v>
      </c>
      <c r="K50" s="157">
        <f t="shared" si="2"/>
        <v>3000</v>
      </c>
      <c r="L50" s="157">
        <f t="shared" si="3"/>
        <v>0</v>
      </c>
      <c r="M50" s="157">
        <f t="shared" si="4"/>
        <v>6000</v>
      </c>
      <c r="N50" s="157">
        <f t="shared" si="5"/>
        <v>6000</v>
      </c>
      <c r="O50" s="157">
        <f t="shared" si="6"/>
        <v>0</v>
      </c>
      <c r="P50" s="157">
        <f t="shared" si="7"/>
        <v>0</v>
      </c>
      <c r="Q50" s="157">
        <f t="shared" si="8"/>
        <v>0</v>
      </c>
      <c r="R50" s="157">
        <f t="shared" si="9"/>
        <v>0</v>
      </c>
    </row>
    <row r="51" spans="1:18" x14ac:dyDescent="0.25">
      <c r="A51" s="115"/>
      <c r="B51" s="159" t="s">
        <v>651</v>
      </c>
      <c r="C51" s="160">
        <v>2</v>
      </c>
      <c r="D51" s="160" t="s">
        <v>803</v>
      </c>
      <c r="E51" s="160"/>
      <c r="F51" s="160">
        <v>100</v>
      </c>
      <c r="G51" s="160">
        <v>12</v>
      </c>
      <c r="H51" s="160"/>
      <c r="I51" s="160">
        <v>48</v>
      </c>
      <c r="J51" s="160">
        <v>48</v>
      </c>
      <c r="K51" s="157">
        <f t="shared" si="2"/>
        <v>1200</v>
      </c>
      <c r="L51" s="157">
        <f t="shared" si="3"/>
        <v>0</v>
      </c>
      <c r="M51" s="157">
        <f t="shared" si="4"/>
        <v>4800</v>
      </c>
      <c r="N51" s="157">
        <f t="shared" si="5"/>
        <v>4800</v>
      </c>
      <c r="O51" s="157">
        <f t="shared" si="6"/>
        <v>0</v>
      </c>
      <c r="P51" s="157">
        <f t="shared" si="7"/>
        <v>0</v>
      </c>
      <c r="Q51" s="157">
        <f t="shared" si="8"/>
        <v>0</v>
      </c>
      <c r="R51" s="157">
        <f t="shared" si="9"/>
        <v>0</v>
      </c>
    </row>
    <row r="52" spans="1:18" x14ac:dyDescent="0.25">
      <c r="A52" s="115"/>
      <c r="B52" s="159" t="s">
        <v>665</v>
      </c>
      <c r="C52" s="160">
        <v>2</v>
      </c>
      <c r="D52" s="160" t="s">
        <v>805</v>
      </c>
      <c r="E52" s="160">
        <v>5</v>
      </c>
      <c r="F52" s="160">
        <v>17000</v>
      </c>
      <c r="G52" s="160">
        <v>1</v>
      </c>
      <c r="H52" s="160"/>
      <c r="I52" s="160">
        <v>1</v>
      </c>
      <c r="J52" s="160">
        <v>1</v>
      </c>
      <c r="K52" s="157">
        <f t="shared" si="2"/>
        <v>17000</v>
      </c>
      <c r="L52" s="157">
        <f t="shared" si="3"/>
        <v>0</v>
      </c>
      <c r="M52" s="157">
        <f t="shared" si="4"/>
        <v>17000</v>
      </c>
      <c r="N52" s="157">
        <f t="shared" si="5"/>
        <v>17000</v>
      </c>
      <c r="O52" s="157">
        <f t="shared" si="6"/>
        <v>3400</v>
      </c>
      <c r="P52" s="157">
        <f t="shared" si="7"/>
        <v>0</v>
      </c>
      <c r="Q52" s="157">
        <f t="shared" si="8"/>
        <v>3400</v>
      </c>
      <c r="R52" s="157">
        <f t="shared" si="9"/>
        <v>3400</v>
      </c>
    </row>
    <row r="53" spans="1:18" ht="30" x14ac:dyDescent="0.25">
      <c r="A53" s="115"/>
      <c r="B53" s="157" t="s">
        <v>706</v>
      </c>
      <c r="C53" s="156">
        <v>14</v>
      </c>
      <c r="D53" s="156" t="s">
        <v>805</v>
      </c>
      <c r="E53" s="156">
        <v>5</v>
      </c>
      <c r="F53" s="156">
        <v>75000</v>
      </c>
      <c r="G53" s="156">
        <v>1</v>
      </c>
      <c r="H53" s="156"/>
      <c r="I53" s="156">
        <v>1</v>
      </c>
      <c r="J53" s="156">
        <v>1</v>
      </c>
      <c r="K53" s="157">
        <f t="shared" si="2"/>
        <v>75000</v>
      </c>
      <c r="L53" s="157">
        <f t="shared" si="3"/>
        <v>0</v>
      </c>
      <c r="M53" s="157">
        <f t="shared" si="4"/>
        <v>75000</v>
      </c>
      <c r="N53" s="157">
        <f t="shared" si="5"/>
        <v>75000</v>
      </c>
      <c r="O53" s="157">
        <f t="shared" si="6"/>
        <v>15000</v>
      </c>
      <c r="P53" s="157">
        <f t="shared" si="7"/>
        <v>0</v>
      </c>
      <c r="Q53" s="157">
        <f t="shared" si="8"/>
        <v>15000</v>
      </c>
      <c r="R53" s="157">
        <f t="shared" si="9"/>
        <v>15000</v>
      </c>
    </row>
    <row r="54" spans="1:18" x14ac:dyDescent="0.25">
      <c r="A54" s="115"/>
      <c r="B54" s="157" t="s">
        <v>841</v>
      </c>
      <c r="C54" s="156">
        <v>6</v>
      </c>
      <c r="D54" s="156" t="s">
        <v>803</v>
      </c>
      <c r="E54" s="156"/>
      <c r="F54" s="156">
        <v>300</v>
      </c>
      <c r="G54" s="156">
        <v>0</v>
      </c>
      <c r="H54" s="156"/>
      <c r="I54" s="156">
        <v>2</v>
      </c>
      <c r="J54" s="156">
        <v>2</v>
      </c>
      <c r="K54" s="157">
        <f t="shared" si="2"/>
        <v>0</v>
      </c>
      <c r="L54" s="157">
        <f t="shared" si="3"/>
        <v>0</v>
      </c>
      <c r="M54" s="157">
        <f t="shared" si="4"/>
        <v>600</v>
      </c>
      <c r="N54" s="157">
        <f t="shared" si="5"/>
        <v>600</v>
      </c>
      <c r="O54" s="157">
        <f t="shared" si="6"/>
        <v>0</v>
      </c>
      <c r="P54" s="157">
        <f t="shared" si="7"/>
        <v>0</v>
      </c>
      <c r="Q54" s="157">
        <f t="shared" si="8"/>
        <v>0</v>
      </c>
      <c r="R54" s="157">
        <f t="shared" si="9"/>
        <v>0</v>
      </c>
    </row>
    <row r="55" spans="1:18" ht="30" x14ac:dyDescent="0.25">
      <c r="A55" s="115"/>
      <c r="B55" s="157" t="s">
        <v>842</v>
      </c>
      <c r="C55" s="156">
        <v>5</v>
      </c>
      <c r="D55" s="156" t="s">
        <v>805</v>
      </c>
      <c r="E55" s="156">
        <v>5</v>
      </c>
      <c r="F55" s="156">
        <v>400</v>
      </c>
      <c r="G55" s="156">
        <v>2</v>
      </c>
      <c r="H55" s="156"/>
      <c r="I55" s="156">
        <v>3</v>
      </c>
      <c r="J55" s="156">
        <v>3</v>
      </c>
      <c r="K55" s="157">
        <f t="shared" si="2"/>
        <v>800</v>
      </c>
      <c r="L55" s="157">
        <f t="shared" si="3"/>
        <v>0</v>
      </c>
      <c r="M55" s="157">
        <f t="shared" si="4"/>
        <v>1200</v>
      </c>
      <c r="N55" s="157">
        <f t="shared" si="5"/>
        <v>1200</v>
      </c>
      <c r="O55" s="157">
        <f t="shared" si="6"/>
        <v>160</v>
      </c>
      <c r="P55" s="157">
        <f t="shared" si="7"/>
        <v>0</v>
      </c>
      <c r="Q55" s="157">
        <f t="shared" si="8"/>
        <v>240</v>
      </c>
      <c r="R55" s="157">
        <f t="shared" si="9"/>
        <v>240</v>
      </c>
    </row>
    <row r="56" spans="1:18" x14ac:dyDescent="0.25">
      <c r="A56" s="115"/>
      <c r="B56" s="157" t="s">
        <v>843</v>
      </c>
      <c r="C56" s="156">
        <v>5</v>
      </c>
      <c r="D56" s="156" t="s">
        <v>805</v>
      </c>
      <c r="E56" s="156">
        <v>8</v>
      </c>
      <c r="F56" s="156">
        <v>300000</v>
      </c>
      <c r="G56" s="156">
        <v>0</v>
      </c>
      <c r="H56" s="156"/>
      <c r="I56" s="156">
        <v>1</v>
      </c>
      <c r="J56" s="156">
        <v>1</v>
      </c>
      <c r="K56" s="157">
        <f t="shared" si="2"/>
        <v>0</v>
      </c>
      <c r="L56" s="157">
        <f t="shared" si="3"/>
        <v>0</v>
      </c>
      <c r="M56" s="157">
        <f t="shared" si="4"/>
        <v>300000</v>
      </c>
      <c r="N56" s="157">
        <f t="shared" si="5"/>
        <v>300000</v>
      </c>
      <c r="O56" s="157">
        <f t="shared" si="6"/>
        <v>0</v>
      </c>
      <c r="P56" s="157">
        <f t="shared" si="7"/>
        <v>0</v>
      </c>
      <c r="Q56" s="157">
        <f t="shared" si="8"/>
        <v>37500</v>
      </c>
      <c r="R56" s="157">
        <f t="shared" si="9"/>
        <v>37500</v>
      </c>
    </row>
    <row r="57" spans="1:18" x14ac:dyDescent="0.25">
      <c r="A57" s="115"/>
      <c r="B57" s="157" t="s">
        <v>679</v>
      </c>
      <c r="C57" s="156">
        <v>5</v>
      </c>
      <c r="D57" s="156" t="s">
        <v>805</v>
      </c>
      <c r="E57" s="156">
        <v>8</v>
      </c>
      <c r="F57" s="156">
        <v>1500</v>
      </c>
      <c r="G57" s="156">
        <v>0</v>
      </c>
      <c r="H57" s="156"/>
      <c r="I57" s="156">
        <v>2</v>
      </c>
      <c r="J57" s="156">
        <v>2</v>
      </c>
      <c r="K57" s="157">
        <f t="shared" si="2"/>
        <v>0</v>
      </c>
      <c r="L57" s="157">
        <f t="shared" si="3"/>
        <v>0</v>
      </c>
      <c r="M57" s="157">
        <f t="shared" si="4"/>
        <v>3000</v>
      </c>
      <c r="N57" s="157">
        <f t="shared" si="5"/>
        <v>3000</v>
      </c>
      <c r="O57" s="157">
        <f t="shared" si="6"/>
        <v>0</v>
      </c>
      <c r="P57" s="157">
        <f t="shared" si="7"/>
        <v>0</v>
      </c>
      <c r="Q57" s="157">
        <f t="shared" si="8"/>
        <v>375</v>
      </c>
      <c r="R57" s="157">
        <f t="shared" si="9"/>
        <v>375</v>
      </c>
    </row>
    <row r="58" spans="1:18" x14ac:dyDescent="0.25">
      <c r="A58" s="115"/>
      <c r="B58" s="157" t="s">
        <v>844</v>
      </c>
      <c r="C58" s="156">
        <v>6</v>
      </c>
      <c r="D58" s="156" t="s">
        <v>805</v>
      </c>
      <c r="E58" s="156">
        <v>8</v>
      </c>
      <c r="F58" s="156">
        <v>300000</v>
      </c>
      <c r="G58" s="156">
        <v>0</v>
      </c>
      <c r="H58" s="156"/>
      <c r="I58" s="156">
        <v>0</v>
      </c>
      <c r="J58" s="156">
        <v>1</v>
      </c>
      <c r="K58" s="157">
        <f t="shared" si="2"/>
        <v>0</v>
      </c>
      <c r="L58" s="157">
        <f t="shared" si="3"/>
        <v>0</v>
      </c>
      <c r="M58" s="157">
        <f t="shared" si="4"/>
        <v>0</v>
      </c>
      <c r="N58" s="157">
        <f t="shared" si="5"/>
        <v>300000</v>
      </c>
      <c r="O58" s="157">
        <f t="shared" si="6"/>
        <v>0</v>
      </c>
      <c r="P58" s="157">
        <f t="shared" si="7"/>
        <v>0</v>
      </c>
      <c r="Q58" s="157">
        <f t="shared" si="8"/>
        <v>0</v>
      </c>
      <c r="R58" s="157">
        <f t="shared" si="9"/>
        <v>37500</v>
      </c>
    </row>
    <row r="59" spans="1:18" x14ac:dyDescent="0.25">
      <c r="A59" s="115"/>
      <c r="B59" s="157" t="s">
        <v>689</v>
      </c>
      <c r="C59" s="156">
        <v>12</v>
      </c>
      <c r="D59" s="156" t="s">
        <v>805</v>
      </c>
      <c r="E59" s="156">
        <v>8</v>
      </c>
      <c r="F59" s="156">
        <v>15000</v>
      </c>
      <c r="G59" s="156">
        <v>0</v>
      </c>
      <c r="H59" s="156"/>
      <c r="I59" s="156">
        <v>1</v>
      </c>
      <c r="J59" s="156">
        <v>1</v>
      </c>
      <c r="K59" s="157">
        <f t="shared" si="2"/>
        <v>0</v>
      </c>
      <c r="L59" s="157">
        <f t="shared" si="3"/>
        <v>0</v>
      </c>
      <c r="M59" s="157">
        <f t="shared" si="4"/>
        <v>15000</v>
      </c>
      <c r="N59" s="157">
        <f t="shared" si="5"/>
        <v>15000</v>
      </c>
      <c r="O59" s="157">
        <f t="shared" si="6"/>
        <v>0</v>
      </c>
      <c r="P59" s="157">
        <f t="shared" si="7"/>
        <v>0</v>
      </c>
      <c r="Q59" s="157">
        <f t="shared" si="8"/>
        <v>1875</v>
      </c>
      <c r="R59" s="157">
        <f t="shared" si="9"/>
        <v>1875</v>
      </c>
    </row>
    <row r="60" spans="1:18" x14ac:dyDescent="0.25">
      <c r="A60" s="115"/>
      <c r="B60" s="157" t="s">
        <v>688</v>
      </c>
      <c r="C60" s="156">
        <v>12</v>
      </c>
      <c r="D60" s="156" t="s">
        <v>805</v>
      </c>
      <c r="E60" s="156">
        <v>8</v>
      </c>
      <c r="F60" s="156">
        <v>5000</v>
      </c>
      <c r="G60" s="156">
        <v>0</v>
      </c>
      <c r="H60" s="156"/>
      <c r="I60" s="156">
        <v>2</v>
      </c>
      <c r="J60" s="156">
        <v>2</v>
      </c>
      <c r="K60" s="157">
        <f t="shared" si="2"/>
        <v>0</v>
      </c>
      <c r="L60" s="157">
        <f t="shared" si="3"/>
        <v>0</v>
      </c>
      <c r="M60" s="157">
        <f t="shared" si="4"/>
        <v>10000</v>
      </c>
      <c r="N60" s="157">
        <f t="shared" si="5"/>
        <v>10000</v>
      </c>
      <c r="O60" s="157">
        <f t="shared" si="6"/>
        <v>0</v>
      </c>
      <c r="P60" s="157">
        <f t="shared" si="7"/>
        <v>0</v>
      </c>
      <c r="Q60" s="157">
        <f t="shared" si="8"/>
        <v>1250</v>
      </c>
      <c r="R60" s="157">
        <f t="shared" si="9"/>
        <v>1250</v>
      </c>
    </row>
    <row r="61" spans="1:18" x14ac:dyDescent="0.25">
      <c r="A61" s="115"/>
      <c r="B61" s="157" t="s">
        <v>694</v>
      </c>
      <c r="C61" s="156">
        <v>12</v>
      </c>
      <c r="D61" s="156" t="s">
        <v>805</v>
      </c>
      <c r="E61" s="156">
        <v>8</v>
      </c>
      <c r="F61" s="156">
        <v>6500</v>
      </c>
      <c r="G61" s="156">
        <v>0</v>
      </c>
      <c r="H61" s="156"/>
      <c r="I61" s="156">
        <v>1</v>
      </c>
      <c r="J61" s="156">
        <v>1</v>
      </c>
      <c r="K61" s="157">
        <f t="shared" si="2"/>
        <v>0</v>
      </c>
      <c r="L61" s="157">
        <f t="shared" si="3"/>
        <v>0</v>
      </c>
      <c r="M61" s="157">
        <f t="shared" si="4"/>
        <v>6500</v>
      </c>
      <c r="N61" s="157">
        <f t="shared" si="5"/>
        <v>6500</v>
      </c>
      <c r="O61" s="157">
        <f t="shared" si="6"/>
        <v>0</v>
      </c>
      <c r="P61" s="157">
        <f t="shared" si="7"/>
        <v>0</v>
      </c>
      <c r="Q61" s="157">
        <f t="shared" si="8"/>
        <v>812.5</v>
      </c>
      <c r="R61" s="157">
        <f t="shared" si="9"/>
        <v>812.5</v>
      </c>
    </row>
    <row r="62" spans="1:18" ht="45" x14ac:dyDescent="0.25">
      <c r="A62" s="115"/>
      <c r="B62" s="157" t="s">
        <v>845</v>
      </c>
      <c r="C62" s="156">
        <v>12</v>
      </c>
      <c r="D62" s="156" t="s">
        <v>805</v>
      </c>
      <c r="E62" s="156">
        <v>8</v>
      </c>
      <c r="F62" s="156">
        <v>300000</v>
      </c>
      <c r="G62" s="156">
        <v>0</v>
      </c>
      <c r="H62" s="156"/>
      <c r="I62" s="156">
        <v>1</v>
      </c>
      <c r="J62" s="156">
        <v>1</v>
      </c>
      <c r="K62" s="157">
        <f t="shared" si="2"/>
        <v>0</v>
      </c>
      <c r="L62" s="157">
        <f t="shared" si="3"/>
        <v>0</v>
      </c>
      <c r="M62" s="157">
        <f t="shared" si="4"/>
        <v>300000</v>
      </c>
      <c r="N62" s="157">
        <f t="shared" si="5"/>
        <v>300000</v>
      </c>
      <c r="O62" s="157">
        <f t="shared" si="6"/>
        <v>0</v>
      </c>
      <c r="P62" s="157">
        <f t="shared" si="7"/>
        <v>0</v>
      </c>
      <c r="Q62" s="157">
        <f t="shared" si="8"/>
        <v>37500</v>
      </c>
      <c r="R62" s="157">
        <f t="shared" si="9"/>
        <v>37500</v>
      </c>
    </row>
    <row r="63" spans="1:18" x14ac:dyDescent="0.25">
      <c r="A63" s="115"/>
      <c r="B63" s="157" t="s">
        <v>690</v>
      </c>
      <c r="C63" s="156">
        <v>12</v>
      </c>
      <c r="D63" s="156" t="s">
        <v>805</v>
      </c>
      <c r="E63" s="156">
        <v>8</v>
      </c>
      <c r="F63" s="156">
        <v>100000</v>
      </c>
      <c r="G63" s="156">
        <v>0</v>
      </c>
      <c r="H63" s="156"/>
      <c r="I63" s="156">
        <v>1</v>
      </c>
      <c r="J63" s="156">
        <v>1</v>
      </c>
      <c r="K63" s="157">
        <f t="shared" si="2"/>
        <v>0</v>
      </c>
      <c r="L63" s="157">
        <f t="shared" si="3"/>
        <v>0</v>
      </c>
      <c r="M63" s="157">
        <f t="shared" si="4"/>
        <v>100000</v>
      </c>
      <c r="N63" s="157">
        <f t="shared" si="5"/>
        <v>100000</v>
      </c>
      <c r="O63" s="157">
        <f t="shared" si="6"/>
        <v>0</v>
      </c>
      <c r="P63" s="157">
        <f t="shared" si="7"/>
        <v>0</v>
      </c>
      <c r="Q63" s="157">
        <f t="shared" si="8"/>
        <v>12500</v>
      </c>
      <c r="R63" s="157">
        <f t="shared" si="9"/>
        <v>12500</v>
      </c>
    </row>
    <row r="64" spans="1:18" x14ac:dyDescent="0.25">
      <c r="A64" s="115"/>
      <c r="B64" s="157" t="s">
        <v>698</v>
      </c>
      <c r="C64" s="156">
        <v>11</v>
      </c>
      <c r="D64" s="156" t="s">
        <v>805</v>
      </c>
      <c r="E64" s="156">
        <v>8</v>
      </c>
      <c r="F64" s="156">
        <v>4000</v>
      </c>
      <c r="G64" s="156">
        <v>0</v>
      </c>
      <c r="H64" s="156"/>
      <c r="I64" s="156">
        <v>1</v>
      </c>
      <c r="J64" s="156">
        <v>1</v>
      </c>
      <c r="K64" s="157">
        <f t="shared" si="2"/>
        <v>0</v>
      </c>
      <c r="L64" s="157">
        <f t="shared" si="3"/>
        <v>0</v>
      </c>
      <c r="M64" s="157">
        <f t="shared" si="4"/>
        <v>4000</v>
      </c>
      <c r="N64" s="157">
        <f t="shared" si="5"/>
        <v>4000</v>
      </c>
      <c r="O64" s="157">
        <f t="shared" si="6"/>
        <v>0</v>
      </c>
      <c r="P64" s="157">
        <f t="shared" si="7"/>
        <v>0</v>
      </c>
      <c r="Q64" s="157">
        <f t="shared" si="8"/>
        <v>500</v>
      </c>
      <c r="R64" s="157">
        <f t="shared" si="9"/>
        <v>500</v>
      </c>
    </row>
    <row r="65" spans="1:18" x14ac:dyDescent="0.25">
      <c r="A65" s="115"/>
      <c r="B65" s="157" t="s">
        <v>846</v>
      </c>
      <c r="C65" s="156">
        <v>7</v>
      </c>
      <c r="D65" s="156" t="s">
        <v>805</v>
      </c>
      <c r="E65" s="156">
        <v>5</v>
      </c>
      <c r="F65" s="156">
        <v>150</v>
      </c>
      <c r="G65" s="156">
        <v>0</v>
      </c>
      <c r="H65" s="156"/>
      <c r="I65" s="156">
        <v>0</v>
      </c>
      <c r="J65" s="156">
        <v>2</v>
      </c>
      <c r="K65" s="157">
        <f t="shared" si="2"/>
        <v>0</v>
      </c>
      <c r="L65" s="157">
        <f t="shared" si="3"/>
        <v>0</v>
      </c>
      <c r="M65" s="157">
        <f t="shared" si="4"/>
        <v>0</v>
      </c>
      <c r="N65" s="157">
        <f t="shared" si="5"/>
        <v>300</v>
      </c>
      <c r="O65" s="157">
        <f t="shared" si="6"/>
        <v>0</v>
      </c>
      <c r="P65" s="157">
        <f t="shared" si="7"/>
        <v>0</v>
      </c>
      <c r="Q65" s="157">
        <f t="shared" si="8"/>
        <v>0</v>
      </c>
      <c r="R65" s="157">
        <f t="shared" si="9"/>
        <v>60</v>
      </c>
    </row>
    <row r="66" spans="1:18" x14ac:dyDescent="0.25">
      <c r="A66" s="115"/>
      <c r="B66" s="157" t="s">
        <v>847</v>
      </c>
      <c r="C66" s="156">
        <v>10</v>
      </c>
      <c r="D66" s="156" t="s">
        <v>805</v>
      </c>
      <c r="E66" s="156">
        <v>8</v>
      </c>
      <c r="F66" s="156">
        <v>2000</v>
      </c>
      <c r="G66" s="156">
        <v>1</v>
      </c>
      <c r="H66" s="156"/>
      <c r="I66" s="156">
        <v>1</v>
      </c>
      <c r="J66" s="156">
        <v>1</v>
      </c>
      <c r="K66" s="157">
        <f t="shared" si="2"/>
        <v>2000</v>
      </c>
      <c r="L66" s="157">
        <f t="shared" si="3"/>
        <v>0</v>
      </c>
      <c r="M66" s="157">
        <f t="shared" si="4"/>
        <v>2000</v>
      </c>
      <c r="N66" s="157">
        <f t="shared" si="5"/>
        <v>2000</v>
      </c>
      <c r="O66" s="157">
        <f t="shared" si="6"/>
        <v>250</v>
      </c>
      <c r="P66" s="157">
        <f t="shared" si="7"/>
        <v>0</v>
      </c>
      <c r="Q66" s="157">
        <f t="shared" si="8"/>
        <v>250</v>
      </c>
      <c r="R66" s="157">
        <f t="shared" si="9"/>
        <v>250</v>
      </c>
    </row>
    <row r="67" spans="1:18" x14ac:dyDescent="0.25">
      <c r="A67" s="115"/>
      <c r="B67" s="157" t="s">
        <v>848</v>
      </c>
      <c r="C67" s="156">
        <v>6</v>
      </c>
      <c r="D67" s="156" t="s">
        <v>805</v>
      </c>
      <c r="E67" s="156">
        <v>5</v>
      </c>
      <c r="F67" s="156">
        <v>300</v>
      </c>
      <c r="G67" s="156">
        <v>0</v>
      </c>
      <c r="H67" s="156"/>
      <c r="I67" s="156">
        <v>1</v>
      </c>
      <c r="J67" s="156">
        <v>1</v>
      </c>
      <c r="K67" s="157">
        <f t="shared" si="2"/>
        <v>0</v>
      </c>
      <c r="L67" s="157">
        <f t="shared" si="3"/>
        <v>0</v>
      </c>
      <c r="M67" s="157">
        <f t="shared" si="4"/>
        <v>300</v>
      </c>
      <c r="N67" s="157">
        <f t="shared" si="5"/>
        <v>300</v>
      </c>
      <c r="O67" s="157">
        <f t="shared" si="6"/>
        <v>0</v>
      </c>
      <c r="P67" s="157">
        <f t="shared" si="7"/>
        <v>0</v>
      </c>
      <c r="Q67" s="157">
        <f t="shared" si="8"/>
        <v>60</v>
      </c>
      <c r="R67" s="157">
        <f t="shared" si="9"/>
        <v>60</v>
      </c>
    </row>
    <row r="68" spans="1:18" ht="30" x14ac:dyDescent="0.25">
      <c r="A68" s="115"/>
      <c r="B68" s="157" t="s">
        <v>849</v>
      </c>
      <c r="C68" s="156">
        <v>7</v>
      </c>
      <c r="D68" s="156" t="s">
        <v>805</v>
      </c>
      <c r="E68" s="156">
        <v>5</v>
      </c>
      <c r="F68" s="156">
        <v>300</v>
      </c>
      <c r="G68" s="156">
        <v>0</v>
      </c>
      <c r="H68" s="156"/>
      <c r="I68" s="156">
        <v>2</v>
      </c>
      <c r="J68" s="156">
        <v>7</v>
      </c>
      <c r="K68" s="157">
        <f t="shared" si="2"/>
        <v>0</v>
      </c>
      <c r="L68" s="157">
        <f t="shared" si="3"/>
        <v>0</v>
      </c>
      <c r="M68" s="157">
        <f t="shared" si="4"/>
        <v>600</v>
      </c>
      <c r="N68" s="157">
        <f t="shared" si="5"/>
        <v>2100</v>
      </c>
      <c r="O68" s="157">
        <f t="shared" si="6"/>
        <v>0</v>
      </c>
      <c r="P68" s="157">
        <f t="shared" si="7"/>
        <v>0</v>
      </c>
      <c r="Q68" s="157">
        <f t="shared" si="8"/>
        <v>120</v>
      </c>
      <c r="R68" s="157">
        <f t="shared" si="9"/>
        <v>420</v>
      </c>
    </row>
    <row r="69" spans="1:18" x14ac:dyDescent="0.25">
      <c r="A69" s="115"/>
      <c r="B69" s="159" t="s">
        <v>850</v>
      </c>
      <c r="C69" s="160">
        <v>2</v>
      </c>
      <c r="D69" s="160" t="s">
        <v>805</v>
      </c>
      <c r="E69" s="160">
        <v>5</v>
      </c>
      <c r="F69" s="160">
        <v>500</v>
      </c>
      <c r="G69" s="160">
        <v>1</v>
      </c>
      <c r="H69" s="160">
        <v>3</v>
      </c>
      <c r="I69" s="160">
        <v>4</v>
      </c>
      <c r="J69" s="160">
        <v>4</v>
      </c>
      <c r="K69" s="157">
        <f t="shared" si="2"/>
        <v>500</v>
      </c>
      <c r="L69" s="157">
        <f t="shared" si="3"/>
        <v>1500</v>
      </c>
      <c r="M69" s="157">
        <f t="shared" si="4"/>
        <v>2000</v>
      </c>
      <c r="N69" s="157">
        <f t="shared" si="5"/>
        <v>2000</v>
      </c>
      <c r="O69" s="157">
        <f t="shared" si="6"/>
        <v>100</v>
      </c>
      <c r="P69" s="157">
        <f t="shared" si="7"/>
        <v>300</v>
      </c>
      <c r="Q69" s="157">
        <f t="shared" si="8"/>
        <v>400</v>
      </c>
      <c r="R69" s="157">
        <f t="shared" si="9"/>
        <v>400</v>
      </c>
    </row>
    <row r="70" spans="1:18" x14ac:dyDescent="0.25">
      <c r="A70" s="115"/>
      <c r="B70" s="157" t="s">
        <v>695</v>
      </c>
      <c r="C70" s="156">
        <v>6</v>
      </c>
      <c r="D70" s="156" t="s">
        <v>805</v>
      </c>
      <c r="E70" s="156">
        <v>5</v>
      </c>
      <c r="F70" s="156">
        <v>1600</v>
      </c>
      <c r="G70" s="156">
        <v>0</v>
      </c>
      <c r="H70" s="156"/>
      <c r="I70" s="156">
        <v>2</v>
      </c>
      <c r="J70" s="156">
        <v>2</v>
      </c>
      <c r="K70" s="157">
        <f t="shared" ref="K70:K133" si="10">IF($F70*G70&gt;0,$F70*G70,0)</f>
        <v>0</v>
      </c>
      <c r="L70" s="157">
        <f t="shared" ref="L70:L133" si="11">IF($F70*H70&gt;0,$F70*H70,0)</f>
        <v>0</v>
      </c>
      <c r="M70" s="157">
        <f t="shared" ref="M70:M133" si="12">IF($F70*I70&gt;0,$F70*I70,0)</f>
        <v>3200</v>
      </c>
      <c r="N70" s="157">
        <f t="shared" ref="N70:N133" si="13">IF($F70*J70&gt;0,$F70*J70,0)</f>
        <v>3200</v>
      </c>
      <c r="O70" s="157">
        <f t="shared" ref="O70:O133" si="14">IF($D70="e",K70/$E70,0)</f>
        <v>0</v>
      </c>
      <c r="P70" s="157">
        <f t="shared" ref="P70:P133" si="15">IF($D70="e",L70/$E70,0)</f>
        <v>0</v>
      </c>
      <c r="Q70" s="157">
        <f t="shared" ref="Q70:Q133" si="16">IF($D70="e",M70/$E70,0)</f>
        <v>640</v>
      </c>
      <c r="R70" s="157">
        <f t="shared" ref="R70:R133" si="17">IF($D70="e",N70/$E70,0)</f>
        <v>640</v>
      </c>
    </row>
    <row r="71" spans="1:18" x14ac:dyDescent="0.25">
      <c r="A71" s="115"/>
      <c r="B71" s="159" t="s">
        <v>661</v>
      </c>
      <c r="C71" s="160">
        <v>2</v>
      </c>
      <c r="D71" s="160" t="s">
        <v>805</v>
      </c>
      <c r="E71" s="160">
        <v>5</v>
      </c>
      <c r="F71" s="160">
        <v>100</v>
      </c>
      <c r="G71" s="160">
        <v>1</v>
      </c>
      <c r="H71" s="160"/>
      <c r="I71" s="160">
        <v>6</v>
      </c>
      <c r="J71" s="160">
        <v>6</v>
      </c>
      <c r="K71" s="157">
        <f t="shared" si="10"/>
        <v>100</v>
      </c>
      <c r="L71" s="157">
        <f t="shared" si="11"/>
        <v>0</v>
      </c>
      <c r="M71" s="157">
        <f t="shared" si="12"/>
        <v>600</v>
      </c>
      <c r="N71" s="157">
        <f t="shared" si="13"/>
        <v>600</v>
      </c>
      <c r="O71" s="157">
        <f t="shared" si="14"/>
        <v>20</v>
      </c>
      <c r="P71" s="157">
        <f t="shared" si="15"/>
        <v>0</v>
      </c>
      <c r="Q71" s="157">
        <f t="shared" si="16"/>
        <v>120</v>
      </c>
      <c r="R71" s="157">
        <f t="shared" si="17"/>
        <v>120</v>
      </c>
    </row>
    <row r="72" spans="1:18" x14ac:dyDescent="0.25">
      <c r="A72" s="115"/>
      <c r="B72" s="159" t="s">
        <v>660</v>
      </c>
      <c r="C72" s="160">
        <v>2</v>
      </c>
      <c r="D72" s="160" t="s">
        <v>805</v>
      </c>
      <c r="E72" s="160">
        <v>5</v>
      </c>
      <c r="F72" s="160">
        <v>400</v>
      </c>
      <c r="G72" s="160">
        <v>1</v>
      </c>
      <c r="H72" s="160"/>
      <c r="I72" s="160">
        <v>6</v>
      </c>
      <c r="J72" s="160">
        <v>6</v>
      </c>
      <c r="K72" s="157">
        <f t="shared" si="10"/>
        <v>400</v>
      </c>
      <c r="L72" s="157">
        <f t="shared" si="11"/>
        <v>0</v>
      </c>
      <c r="M72" s="157">
        <f t="shared" si="12"/>
        <v>2400</v>
      </c>
      <c r="N72" s="157">
        <f t="shared" si="13"/>
        <v>2400</v>
      </c>
      <c r="O72" s="157">
        <f t="shared" si="14"/>
        <v>80</v>
      </c>
      <c r="P72" s="157">
        <f t="shared" si="15"/>
        <v>0</v>
      </c>
      <c r="Q72" s="157">
        <f t="shared" si="16"/>
        <v>480</v>
      </c>
      <c r="R72" s="157">
        <f t="shared" si="17"/>
        <v>480</v>
      </c>
    </row>
    <row r="73" spans="1:18" x14ac:dyDescent="0.25">
      <c r="A73" s="115"/>
      <c r="B73" s="159" t="s">
        <v>653</v>
      </c>
      <c r="C73" s="160">
        <v>2</v>
      </c>
      <c r="D73" s="160" t="s">
        <v>805</v>
      </c>
      <c r="E73" s="160">
        <v>7</v>
      </c>
      <c r="F73" s="160">
        <v>2500</v>
      </c>
      <c r="G73" s="160">
        <v>1</v>
      </c>
      <c r="H73" s="160"/>
      <c r="I73" s="160">
        <v>2</v>
      </c>
      <c r="J73" s="160">
        <v>2</v>
      </c>
      <c r="K73" s="157">
        <f t="shared" si="10"/>
        <v>2500</v>
      </c>
      <c r="L73" s="157">
        <f t="shared" si="11"/>
        <v>0</v>
      </c>
      <c r="M73" s="157">
        <f t="shared" si="12"/>
        <v>5000</v>
      </c>
      <c r="N73" s="157">
        <f t="shared" si="13"/>
        <v>5000</v>
      </c>
      <c r="O73" s="157">
        <f t="shared" si="14"/>
        <v>357.14285714285717</v>
      </c>
      <c r="P73" s="157">
        <f t="shared" si="15"/>
        <v>0</v>
      </c>
      <c r="Q73" s="157">
        <f t="shared" si="16"/>
        <v>714.28571428571433</v>
      </c>
      <c r="R73" s="157">
        <f t="shared" si="17"/>
        <v>714.28571428571433</v>
      </c>
    </row>
    <row r="74" spans="1:18" x14ac:dyDescent="0.25">
      <c r="A74" s="115"/>
      <c r="B74" s="157" t="s">
        <v>851</v>
      </c>
      <c r="C74" s="156">
        <v>5</v>
      </c>
      <c r="D74" s="156" t="s">
        <v>805</v>
      </c>
      <c r="E74" s="156">
        <v>5</v>
      </c>
      <c r="F74" s="156">
        <v>300</v>
      </c>
      <c r="G74" s="156">
        <v>2</v>
      </c>
      <c r="H74" s="156"/>
      <c r="I74" s="156">
        <v>5</v>
      </c>
      <c r="J74" s="156">
        <v>5</v>
      </c>
      <c r="K74" s="157">
        <f t="shared" si="10"/>
        <v>600</v>
      </c>
      <c r="L74" s="157">
        <f t="shared" si="11"/>
        <v>0</v>
      </c>
      <c r="M74" s="157">
        <f t="shared" si="12"/>
        <v>1500</v>
      </c>
      <c r="N74" s="157">
        <f t="shared" si="13"/>
        <v>1500</v>
      </c>
      <c r="O74" s="157">
        <f t="shared" si="14"/>
        <v>120</v>
      </c>
      <c r="P74" s="157">
        <f t="shared" si="15"/>
        <v>0</v>
      </c>
      <c r="Q74" s="157">
        <f t="shared" si="16"/>
        <v>300</v>
      </c>
      <c r="R74" s="157">
        <f t="shared" si="17"/>
        <v>300</v>
      </c>
    </row>
    <row r="75" spans="1:18" x14ac:dyDescent="0.25">
      <c r="A75" s="115"/>
      <c r="B75" s="157" t="s">
        <v>852</v>
      </c>
      <c r="C75" s="156">
        <v>10</v>
      </c>
      <c r="D75" s="156" t="s">
        <v>803</v>
      </c>
      <c r="E75" s="156"/>
      <c r="F75" s="156">
        <v>50</v>
      </c>
      <c r="G75" s="156">
        <v>1</v>
      </c>
      <c r="H75" s="156"/>
      <c r="I75" s="156">
        <v>2</v>
      </c>
      <c r="J75" s="156">
        <v>2</v>
      </c>
      <c r="K75" s="157">
        <f t="shared" si="10"/>
        <v>50</v>
      </c>
      <c r="L75" s="157">
        <f t="shared" si="11"/>
        <v>0</v>
      </c>
      <c r="M75" s="157">
        <f t="shared" si="12"/>
        <v>100</v>
      </c>
      <c r="N75" s="157">
        <f t="shared" si="13"/>
        <v>100</v>
      </c>
      <c r="O75" s="157">
        <f t="shared" si="14"/>
        <v>0</v>
      </c>
      <c r="P75" s="157">
        <f t="shared" si="15"/>
        <v>0</v>
      </c>
      <c r="Q75" s="157">
        <f t="shared" si="16"/>
        <v>0</v>
      </c>
      <c r="R75" s="157">
        <f t="shared" si="17"/>
        <v>0</v>
      </c>
    </row>
    <row r="76" spans="1:18" x14ac:dyDescent="0.25">
      <c r="A76" s="115"/>
      <c r="B76" s="157" t="s">
        <v>853</v>
      </c>
      <c r="C76" s="156">
        <v>10</v>
      </c>
      <c r="D76" s="156" t="s">
        <v>803</v>
      </c>
      <c r="E76" s="156"/>
      <c r="F76" s="156">
        <v>500</v>
      </c>
      <c r="G76" s="156">
        <v>1</v>
      </c>
      <c r="H76" s="156"/>
      <c r="I76" s="156">
        <v>2</v>
      </c>
      <c r="J76" s="156">
        <v>2</v>
      </c>
      <c r="K76" s="157">
        <f t="shared" si="10"/>
        <v>500</v>
      </c>
      <c r="L76" s="157">
        <f t="shared" si="11"/>
        <v>0</v>
      </c>
      <c r="M76" s="157">
        <f t="shared" si="12"/>
        <v>1000</v>
      </c>
      <c r="N76" s="157">
        <f t="shared" si="13"/>
        <v>1000</v>
      </c>
      <c r="O76" s="157">
        <f t="shared" si="14"/>
        <v>0</v>
      </c>
      <c r="P76" s="157">
        <f t="shared" si="15"/>
        <v>0</v>
      </c>
      <c r="Q76" s="157">
        <f t="shared" si="16"/>
        <v>0</v>
      </c>
      <c r="R76" s="157">
        <f t="shared" si="17"/>
        <v>0</v>
      </c>
    </row>
    <row r="77" spans="1:18" x14ac:dyDescent="0.25">
      <c r="A77" s="115"/>
      <c r="B77" s="159" t="s">
        <v>654</v>
      </c>
      <c r="C77" s="160">
        <v>2</v>
      </c>
      <c r="D77" s="160" t="s">
        <v>805</v>
      </c>
      <c r="E77" s="160">
        <v>10</v>
      </c>
      <c r="F77" s="160">
        <v>100000</v>
      </c>
      <c r="G77" s="160">
        <v>2</v>
      </c>
      <c r="H77" s="160"/>
      <c r="I77" s="160">
        <v>3</v>
      </c>
      <c r="J77" s="160">
        <v>3</v>
      </c>
      <c r="K77" s="157">
        <f t="shared" si="10"/>
        <v>200000</v>
      </c>
      <c r="L77" s="157">
        <f t="shared" si="11"/>
        <v>0</v>
      </c>
      <c r="M77" s="157">
        <f t="shared" si="12"/>
        <v>300000</v>
      </c>
      <c r="N77" s="157">
        <f t="shared" si="13"/>
        <v>300000</v>
      </c>
      <c r="O77" s="157">
        <f t="shared" si="14"/>
        <v>20000</v>
      </c>
      <c r="P77" s="157">
        <f t="shared" si="15"/>
        <v>0</v>
      </c>
      <c r="Q77" s="157">
        <f t="shared" si="16"/>
        <v>30000</v>
      </c>
      <c r="R77" s="157">
        <f t="shared" si="17"/>
        <v>30000</v>
      </c>
    </row>
    <row r="78" spans="1:18" x14ac:dyDescent="0.25">
      <c r="A78" s="115"/>
      <c r="B78" s="157" t="s">
        <v>854</v>
      </c>
      <c r="C78" s="156">
        <v>5</v>
      </c>
      <c r="D78" s="156" t="s">
        <v>803</v>
      </c>
      <c r="E78" s="156"/>
      <c r="F78" s="156">
        <v>10000</v>
      </c>
      <c r="G78" s="156">
        <v>2</v>
      </c>
      <c r="H78" s="156">
        <v>1</v>
      </c>
      <c r="I78" s="156">
        <v>2</v>
      </c>
      <c r="J78" s="156">
        <v>2</v>
      </c>
      <c r="K78" s="157">
        <f t="shared" si="10"/>
        <v>20000</v>
      </c>
      <c r="L78" s="157">
        <f t="shared" si="11"/>
        <v>10000</v>
      </c>
      <c r="M78" s="157">
        <f t="shared" si="12"/>
        <v>20000</v>
      </c>
      <c r="N78" s="157">
        <f t="shared" si="13"/>
        <v>20000</v>
      </c>
      <c r="O78" s="157">
        <f t="shared" si="14"/>
        <v>0</v>
      </c>
      <c r="P78" s="157">
        <f t="shared" si="15"/>
        <v>0</v>
      </c>
      <c r="Q78" s="157">
        <f t="shared" si="16"/>
        <v>0</v>
      </c>
      <c r="R78" s="157">
        <f t="shared" si="17"/>
        <v>0</v>
      </c>
    </row>
    <row r="79" spans="1:18" x14ac:dyDescent="0.25">
      <c r="A79" s="115"/>
      <c r="B79" s="159" t="s">
        <v>652</v>
      </c>
      <c r="C79" s="160">
        <v>2</v>
      </c>
      <c r="D79" s="160" t="s">
        <v>803</v>
      </c>
      <c r="E79" s="160"/>
      <c r="F79" s="160">
        <v>1000</v>
      </c>
      <c r="G79" s="160">
        <v>2</v>
      </c>
      <c r="H79" s="160"/>
      <c r="I79" s="160">
        <v>4</v>
      </c>
      <c r="J79" s="160">
        <v>4</v>
      </c>
      <c r="K79" s="157">
        <f t="shared" si="10"/>
        <v>2000</v>
      </c>
      <c r="L79" s="157">
        <f t="shared" si="11"/>
        <v>0</v>
      </c>
      <c r="M79" s="157">
        <f t="shared" si="12"/>
        <v>4000</v>
      </c>
      <c r="N79" s="157">
        <f t="shared" si="13"/>
        <v>4000</v>
      </c>
      <c r="O79" s="157">
        <f t="shared" si="14"/>
        <v>0</v>
      </c>
      <c r="P79" s="157">
        <f t="shared" si="15"/>
        <v>0</v>
      </c>
      <c r="Q79" s="157">
        <f t="shared" si="16"/>
        <v>0</v>
      </c>
      <c r="R79" s="157">
        <f t="shared" si="17"/>
        <v>0</v>
      </c>
    </row>
    <row r="80" spans="1:18" x14ac:dyDescent="0.25">
      <c r="A80" s="115"/>
      <c r="B80" s="157" t="s">
        <v>855</v>
      </c>
      <c r="C80" s="156">
        <v>5</v>
      </c>
      <c r="D80" s="156" t="s">
        <v>805</v>
      </c>
      <c r="E80" s="156">
        <v>5</v>
      </c>
      <c r="F80" s="156">
        <v>500</v>
      </c>
      <c r="G80" s="156">
        <v>2</v>
      </c>
      <c r="H80" s="156"/>
      <c r="I80" s="156">
        <v>2</v>
      </c>
      <c r="J80" s="156">
        <v>2</v>
      </c>
      <c r="K80" s="157">
        <f t="shared" si="10"/>
        <v>1000</v>
      </c>
      <c r="L80" s="157">
        <f t="shared" si="11"/>
        <v>0</v>
      </c>
      <c r="M80" s="157">
        <f t="shared" si="12"/>
        <v>1000</v>
      </c>
      <c r="N80" s="157">
        <f t="shared" si="13"/>
        <v>1000</v>
      </c>
      <c r="O80" s="157">
        <f t="shared" si="14"/>
        <v>200</v>
      </c>
      <c r="P80" s="157">
        <f t="shared" si="15"/>
        <v>0</v>
      </c>
      <c r="Q80" s="157">
        <f t="shared" si="16"/>
        <v>200</v>
      </c>
      <c r="R80" s="157">
        <f t="shared" si="17"/>
        <v>200</v>
      </c>
    </row>
    <row r="81" spans="1:18" x14ac:dyDescent="0.25">
      <c r="A81" s="115"/>
      <c r="B81" s="157" t="s">
        <v>675</v>
      </c>
      <c r="C81" s="156">
        <v>3</v>
      </c>
      <c r="D81" s="156" t="s">
        <v>803</v>
      </c>
      <c r="E81" s="156"/>
      <c r="F81" s="156">
        <v>4000</v>
      </c>
      <c r="G81" s="156">
        <v>0</v>
      </c>
      <c r="H81" s="156"/>
      <c r="I81" s="156">
        <v>20</v>
      </c>
      <c r="J81" s="156">
        <v>20</v>
      </c>
      <c r="K81" s="157">
        <f t="shared" si="10"/>
        <v>0</v>
      </c>
      <c r="L81" s="157">
        <f t="shared" si="11"/>
        <v>0</v>
      </c>
      <c r="M81" s="157">
        <f t="shared" si="12"/>
        <v>80000</v>
      </c>
      <c r="N81" s="157">
        <f t="shared" si="13"/>
        <v>80000</v>
      </c>
      <c r="O81" s="157">
        <f t="shared" si="14"/>
        <v>0</v>
      </c>
      <c r="P81" s="157">
        <f t="shared" si="15"/>
        <v>0</v>
      </c>
      <c r="Q81" s="157">
        <f t="shared" si="16"/>
        <v>0</v>
      </c>
      <c r="R81" s="157">
        <f t="shared" si="17"/>
        <v>0</v>
      </c>
    </row>
    <row r="82" spans="1:18" x14ac:dyDescent="0.25">
      <c r="A82" s="115"/>
      <c r="B82" s="157" t="s">
        <v>856</v>
      </c>
      <c r="C82" s="156">
        <v>3</v>
      </c>
      <c r="D82" s="156" t="s">
        <v>803</v>
      </c>
      <c r="E82" s="156"/>
      <c r="F82" s="156">
        <v>400</v>
      </c>
      <c r="G82" s="156">
        <v>4</v>
      </c>
      <c r="H82" s="156"/>
      <c r="I82" s="156">
        <v>26</v>
      </c>
      <c r="J82" s="156">
        <v>26</v>
      </c>
      <c r="K82" s="157">
        <f t="shared" si="10"/>
        <v>1600</v>
      </c>
      <c r="L82" s="157">
        <f t="shared" si="11"/>
        <v>0</v>
      </c>
      <c r="M82" s="157">
        <f t="shared" si="12"/>
        <v>10400</v>
      </c>
      <c r="N82" s="157">
        <f t="shared" si="13"/>
        <v>10400</v>
      </c>
      <c r="O82" s="157">
        <f t="shared" si="14"/>
        <v>0</v>
      </c>
      <c r="P82" s="157">
        <f t="shared" si="15"/>
        <v>0</v>
      </c>
      <c r="Q82" s="157">
        <f t="shared" si="16"/>
        <v>0</v>
      </c>
      <c r="R82" s="157">
        <f t="shared" si="17"/>
        <v>0</v>
      </c>
    </row>
    <row r="83" spans="1:18" x14ac:dyDescent="0.25">
      <c r="A83" s="115"/>
      <c r="B83" s="157" t="s">
        <v>857</v>
      </c>
      <c r="C83" s="156">
        <v>3</v>
      </c>
      <c r="D83" s="156" t="s">
        <v>805</v>
      </c>
      <c r="E83" s="156">
        <v>5</v>
      </c>
      <c r="F83" s="156">
        <v>3500</v>
      </c>
      <c r="G83" s="156">
        <v>0</v>
      </c>
      <c r="H83" s="156"/>
      <c r="I83" s="156">
        <v>10</v>
      </c>
      <c r="J83" s="156">
        <v>10</v>
      </c>
      <c r="K83" s="157">
        <f t="shared" si="10"/>
        <v>0</v>
      </c>
      <c r="L83" s="157">
        <f t="shared" si="11"/>
        <v>0</v>
      </c>
      <c r="M83" s="157">
        <f t="shared" si="12"/>
        <v>35000</v>
      </c>
      <c r="N83" s="157">
        <f t="shared" si="13"/>
        <v>35000</v>
      </c>
      <c r="O83" s="157">
        <f t="shared" si="14"/>
        <v>0</v>
      </c>
      <c r="P83" s="157">
        <f t="shared" si="15"/>
        <v>0</v>
      </c>
      <c r="Q83" s="157">
        <f t="shared" si="16"/>
        <v>7000</v>
      </c>
      <c r="R83" s="157">
        <f t="shared" si="17"/>
        <v>7000</v>
      </c>
    </row>
    <row r="84" spans="1:18" ht="15" customHeight="1" x14ac:dyDescent="0.25">
      <c r="A84" s="115"/>
      <c r="B84" s="157" t="s">
        <v>858</v>
      </c>
      <c r="C84" s="156">
        <v>10</v>
      </c>
      <c r="D84" s="156" t="s">
        <v>805</v>
      </c>
      <c r="E84" s="156">
        <v>5</v>
      </c>
      <c r="F84" s="156">
        <v>11</v>
      </c>
      <c r="G84" s="156">
        <v>1</v>
      </c>
      <c r="H84" s="156"/>
      <c r="I84" s="156">
        <v>1</v>
      </c>
      <c r="J84" s="156">
        <v>1</v>
      </c>
      <c r="K84" s="157">
        <f t="shared" si="10"/>
        <v>11</v>
      </c>
      <c r="L84" s="157">
        <f t="shared" si="11"/>
        <v>0</v>
      </c>
      <c r="M84" s="157">
        <f t="shared" si="12"/>
        <v>11</v>
      </c>
      <c r="N84" s="157">
        <f t="shared" si="13"/>
        <v>11</v>
      </c>
      <c r="O84" s="157">
        <f t="shared" si="14"/>
        <v>2.2000000000000002</v>
      </c>
      <c r="P84" s="157">
        <f t="shared" si="15"/>
        <v>0</v>
      </c>
      <c r="Q84" s="157">
        <f t="shared" si="16"/>
        <v>2.2000000000000002</v>
      </c>
      <c r="R84" s="157">
        <f t="shared" si="17"/>
        <v>2.2000000000000002</v>
      </c>
    </row>
    <row r="85" spans="1:18" x14ac:dyDescent="0.25">
      <c r="A85" s="115"/>
      <c r="B85" s="157" t="s">
        <v>708</v>
      </c>
      <c r="C85" s="156">
        <v>14</v>
      </c>
      <c r="D85" s="156" t="s">
        <v>805</v>
      </c>
      <c r="E85" s="156">
        <v>5</v>
      </c>
      <c r="F85" s="156">
        <v>500</v>
      </c>
      <c r="G85" s="156">
        <v>1</v>
      </c>
      <c r="H85" s="156"/>
      <c r="I85" s="156">
        <v>1</v>
      </c>
      <c r="J85" s="156">
        <v>1</v>
      </c>
      <c r="K85" s="157">
        <f t="shared" si="10"/>
        <v>500</v>
      </c>
      <c r="L85" s="157">
        <f t="shared" si="11"/>
        <v>0</v>
      </c>
      <c r="M85" s="157">
        <f t="shared" si="12"/>
        <v>500</v>
      </c>
      <c r="N85" s="157">
        <f t="shared" si="13"/>
        <v>500</v>
      </c>
      <c r="O85" s="157">
        <f t="shared" si="14"/>
        <v>100</v>
      </c>
      <c r="P85" s="157">
        <f t="shared" si="15"/>
        <v>0</v>
      </c>
      <c r="Q85" s="157">
        <f t="shared" si="16"/>
        <v>100</v>
      </c>
      <c r="R85" s="157">
        <f t="shared" si="17"/>
        <v>100</v>
      </c>
    </row>
    <row r="86" spans="1:18" x14ac:dyDescent="0.25">
      <c r="A86" s="115"/>
      <c r="B86" s="157" t="s">
        <v>859</v>
      </c>
      <c r="C86" s="156">
        <v>10</v>
      </c>
      <c r="D86" s="156" t="s">
        <v>803</v>
      </c>
      <c r="E86" s="156"/>
      <c r="F86" s="156">
        <v>100</v>
      </c>
      <c r="G86" s="156">
        <v>6</v>
      </c>
      <c r="H86" s="156"/>
      <c r="I86" s="156">
        <v>12</v>
      </c>
      <c r="J86" s="156">
        <v>12</v>
      </c>
      <c r="K86" s="157">
        <f t="shared" si="10"/>
        <v>600</v>
      </c>
      <c r="L86" s="157">
        <f t="shared" si="11"/>
        <v>0</v>
      </c>
      <c r="M86" s="157">
        <f t="shared" si="12"/>
        <v>1200</v>
      </c>
      <c r="N86" s="157">
        <f t="shared" si="13"/>
        <v>1200</v>
      </c>
      <c r="O86" s="157">
        <f t="shared" si="14"/>
        <v>0</v>
      </c>
      <c r="P86" s="157">
        <f t="shared" si="15"/>
        <v>0</v>
      </c>
      <c r="Q86" s="157">
        <f t="shared" si="16"/>
        <v>0</v>
      </c>
      <c r="R86" s="157">
        <f t="shared" si="17"/>
        <v>0</v>
      </c>
    </row>
    <row r="87" spans="1:18" x14ac:dyDescent="0.25">
      <c r="A87" s="115"/>
      <c r="B87" s="157" t="s">
        <v>860</v>
      </c>
      <c r="C87" s="156">
        <v>10</v>
      </c>
      <c r="D87" s="156" t="s">
        <v>803</v>
      </c>
      <c r="E87" s="156"/>
      <c r="F87" s="156">
        <v>50</v>
      </c>
      <c r="G87" s="156">
        <v>2</v>
      </c>
      <c r="H87" s="156"/>
      <c r="I87" s="156">
        <v>4</v>
      </c>
      <c r="J87" s="156">
        <v>4</v>
      </c>
      <c r="K87" s="157">
        <f t="shared" si="10"/>
        <v>100</v>
      </c>
      <c r="L87" s="157">
        <f t="shared" si="11"/>
        <v>0</v>
      </c>
      <c r="M87" s="157">
        <f t="shared" si="12"/>
        <v>200</v>
      </c>
      <c r="N87" s="157">
        <f t="shared" si="13"/>
        <v>200</v>
      </c>
      <c r="O87" s="157">
        <f t="shared" si="14"/>
        <v>0</v>
      </c>
      <c r="P87" s="157">
        <f t="shared" si="15"/>
        <v>0</v>
      </c>
      <c r="Q87" s="157">
        <f t="shared" si="16"/>
        <v>0</v>
      </c>
      <c r="R87" s="157">
        <f t="shared" si="17"/>
        <v>0</v>
      </c>
    </row>
    <row r="88" spans="1:18" x14ac:dyDescent="0.25">
      <c r="A88" s="115"/>
      <c r="B88" s="157" t="s">
        <v>687</v>
      </c>
      <c r="C88" s="156">
        <v>10</v>
      </c>
      <c r="D88" s="156" t="s">
        <v>805</v>
      </c>
      <c r="E88" s="156">
        <v>5</v>
      </c>
      <c r="F88" s="156">
        <v>4000</v>
      </c>
      <c r="G88" s="156">
        <v>1</v>
      </c>
      <c r="H88" s="156">
        <v>1</v>
      </c>
      <c r="I88" s="156">
        <v>1</v>
      </c>
      <c r="J88" s="156">
        <v>1</v>
      </c>
      <c r="K88" s="157">
        <f t="shared" si="10"/>
        <v>4000</v>
      </c>
      <c r="L88" s="157">
        <f t="shared" si="11"/>
        <v>4000</v>
      </c>
      <c r="M88" s="157">
        <f t="shared" si="12"/>
        <v>4000</v>
      </c>
      <c r="N88" s="157">
        <f t="shared" si="13"/>
        <v>4000</v>
      </c>
      <c r="O88" s="157">
        <f t="shared" si="14"/>
        <v>800</v>
      </c>
      <c r="P88" s="157">
        <f t="shared" si="15"/>
        <v>800</v>
      </c>
      <c r="Q88" s="157">
        <f t="shared" si="16"/>
        <v>800</v>
      </c>
      <c r="R88" s="157">
        <f t="shared" si="17"/>
        <v>800</v>
      </c>
    </row>
    <row r="89" spans="1:18" ht="30" x14ac:dyDescent="0.25">
      <c r="A89" s="115"/>
      <c r="B89" s="157" t="s">
        <v>861</v>
      </c>
      <c r="C89" s="156">
        <v>1</v>
      </c>
      <c r="D89" s="156" t="s">
        <v>803</v>
      </c>
      <c r="E89" s="156"/>
      <c r="F89" s="156">
        <v>100</v>
      </c>
      <c r="G89" s="156">
        <v>4</v>
      </c>
      <c r="H89" s="156"/>
      <c r="I89" s="156">
        <v>12</v>
      </c>
      <c r="J89" s="156">
        <v>12</v>
      </c>
      <c r="K89" s="157">
        <f t="shared" si="10"/>
        <v>400</v>
      </c>
      <c r="L89" s="157">
        <f t="shared" si="11"/>
        <v>0</v>
      </c>
      <c r="M89" s="157">
        <f t="shared" si="12"/>
        <v>1200</v>
      </c>
      <c r="N89" s="157">
        <f t="shared" si="13"/>
        <v>1200</v>
      </c>
      <c r="O89" s="157">
        <f t="shared" si="14"/>
        <v>0</v>
      </c>
      <c r="P89" s="157">
        <f t="shared" si="15"/>
        <v>0</v>
      </c>
      <c r="Q89" s="157">
        <f t="shared" si="16"/>
        <v>0</v>
      </c>
      <c r="R89" s="157">
        <f t="shared" si="17"/>
        <v>0</v>
      </c>
    </row>
    <row r="90" spans="1:18" x14ac:dyDescent="0.25">
      <c r="A90" s="115"/>
      <c r="B90" s="157" t="s">
        <v>862</v>
      </c>
      <c r="C90" s="156">
        <v>10</v>
      </c>
      <c r="D90" s="156" t="s">
        <v>805</v>
      </c>
      <c r="E90" s="156">
        <v>10</v>
      </c>
      <c r="F90" s="156">
        <v>4000</v>
      </c>
      <c r="G90" s="156">
        <v>1</v>
      </c>
      <c r="H90" s="156"/>
      <c r="I90" s="156">
        <v>2</v>
      </c>
      <c r="J90" s="156">
        <v>2</v>
      </c>
      <c r="K90" s="157">
        <f t="shared" si="10"/>
        <v>4000</v>
      </c>
      <c r="L90" s="157">
        <f t="shared" si="11"/>
        <v>0</v>
      </c>
      <c r="M90" s="157">
        <f t="shared" si="12"/>
        <v>8000</v>
      </c>
      <c r="N90" s="157">
        <f t="shared" si="13"/>
        <v>8000</v>
      </c>
      <c r="O90" s="157">
        <f t="shared" si="14"/>
        <v>400</v>
      </c>
      <c r="P90" s="157">
        <f t="shared" si="15"/>
        <v>0</v>
      </c>
      <c r="Q90" s="157">
        <f t="shared" si="16"/>
        <v>800</v>
      </c>
      <c r="R90" s="157">
        <f t="shared" si="17"/>
        <v>800</v>
      </c>
    </row>
    <row r="91" spans="1:18" x14ac:dyDescent="0.25">
      <c r="A91" s="115"/>
      <c r="B91" s="157" t="s">
        <v>863</v>
      </c>
      <c r="C91" s="156">
        <v>10</v>
      </c>
      <c r="D91" s="156" t="s">
        <v>805</v>
      </c>
      <c r="E91" s="156">
        <v>10</v>
      </c>
      <c r="F91" s="156">
        <v>450000</v>
      </c>
      <c r="G91" s="156">
        <v>1</v>
      </c>
      <c r="H91" s="156"/>
      <c r="I91" s="156">
        <v>1</v>
      </c>
      <c r="J91" s="156">
        <v>1</v>
      </c>
      <c r="K91" s="157">
        <f t="shared" si="10"/>
        <v>450000</v>
      </c>
      <c r="L91" s="157">
        <f t="shared" si="11"/>
        <v>0</v>
      </c>
      <c r="M91" s="157">
        <f t="shared" si="12"/>
        <v>450000</v>
      </c>
      <c r="N91" s="157">
        <f t="shared" si="13"/>
        <v>450000</v>
      </c>
      <c r="O91" s="157">
        <f t="shared" si="14"/>
        <v>45000</v>
      </c>
      <c r="P91" s="157">
        <f t="shared" si="15"/>
        <v>0</v>
      </c>
      <c r="Q91" s="157">
        <f t="shared" si="16"/>
        <v>45000</v>
      </c>
      <c r="R91" s="157">
        <f t="shared" si="17"/>
        <v>45000</v>
      </c>
    </row>
    <row r="92" spans="1:18" x14ac:dyDescent="0.25">
      <c r="A92" s="115"/>
      <c r="B92" s="157" t="s">
        <v>697</v>
      </c>
      <c r="C92" s="156">
        <v>6</v>
      </c>
      <c r="D92" s="156" t="s">
        <v>803</v>
      </c>
      <c r="E92" s="156"/>
      <c r="F92" s="156">
        <v>200</v>
      </c>
      <c r="G92" s="156">
        <v>0</v>
      </c>
      <c r="H92" s="156"/>
      <c r="I92" s="156">
        <v>10</v>
      </c>
      <c r="J92" s="156">
        <v>12</v>
      </c>
      <c r="K92" s="157">
        <f t="shared" si="10"/>
        <v>0</v>
      </c>
      <c r="L92" s="157">
        <f t="shared" si="11"/>
        <v>0</v>
      </c>
      <c r="M92" s="157">
        <f t="shared" si="12"/>
        <v>2000</v>
      </c>
      <c r="N92" s="157">
        <f t="shared" si="13"/>
        <v>2400</v>
      </c>
      <c r="O92" s="157">
        <f t="shared" si="14"/>
        <v>0</v>
      </c>
      <c r="P92" s="157">
        <f t="shared" si="15"/>
        <v>0</v>
      </c>
      <c r="Q92" s="157">
        <f t="shared" si="16"/>
        <v>0</v>
      </c>
      <c r="R92" s="157">
        <f t="shared" si="17"/>
        <v>0</v>
      </c>
    </row>
    <row r="93" spans="1:18" x14ac:dyDescent="0.25">
      <c r="A93" s="115"/>
      <c r="B93" s="157" t="s">
        <v>681</v>
      </c>
      <c r="C93" s="156">
        <v>9</v>
      </c>
      <c r="D93" s="156" t="s">
        <v>805</v>
      </c>
      <c r="E93" s="156">
        <v>7</v>
      </c>
      <c r="F93" s="156">
        <v>7000</v>
      </c>
      <c r="G93" s="156">
        <v>1</v>
      </c>
      <c r="H93" s="156"/>
      <c r="I93" s="156">
        <v>1</v>
      </c>
      <c r="J93" s="156">
        <v>1</v>
      </c>
      <c r="K93" s="157">
        <f t="shared" si="10"/>
        <v>7000</v>
      </c>
      <c r="L93" s="157">
        <f t="shared" si="11"/>
        <v>0</v>
      </c>
      <c r="M93" s="157">
        <f t="shared" si="12"/>
        <v>7000</v>
      </c>
      <c r="N93" s="157">
        <f t="shared" si="13"/>
        <v>7000</v>
      </c>
      <c r="O93" s="157">
        <f t="shared" si="14"/>
        <v>1000</v>
      </c>
      <c r="P93" s="157">
        <f t="shared" si="15"/>
        <v>0</v>
      </c>
      <c r="Q93" s="157">
        <f t="shared" si="16"/>
        <v>1000</v>
      </c>
      <c r="R93" s="157">
        <f t="shared" si="17"/>
        <v>1000</v>
      </c>
    </row>
    <row r="94" spans="1:18" x14ac:dyDescent="0.25">
      <c r="A94" s="115"/>
      <c r="B94" s="157" t="s">
        <v>682</v>
      </c>
      <c r="C94" s="156">
        <v>9</v>
      </c>
      <c r="D94" s="156" t="s">
        <v>805</v>
      </c>
      <c r="E94" s="156">
        <v>7</v>
      </c>
      <c r="F94" s="156">
        <v>100</v>
      </c>
      <c r="G94" s="156">
        <v>10</v>
      </c>
      <c r="H94" s="156"/>
      <c r="I94" s="156">
        <v>10</v>
      </c>
      <c r="J94" s="156">
        <v>10</v>
      </c>
      <c r="K94" s="157">
        <f t="shared" si="10"/>
        <v>1000</v>
      </c>
      <c r="L94" s="157">
        <f t="shared" si="11"/>
        <v>0</v>
      </c>
      <c r="M94" s="157">
        <f t="shared" si="12"/>
        <v>1000</v>
      </c>
      <c r="N94" s="157">
        <f t="shared" si="13"/>
        <v>1000</v>
      </c>
      <c r="O94" s="157">
        <f t="shared" si="14"/>
        <v>142.85714285714286</v>
      </c>
      <c r="P94" s="157">
        <f t="shared" si="15"/>
        <v>0</v>
      </c>
      <c r="Q94" s="157">
        <f t="shared" si="16"/>
        <v>142.85714285714286</v>
      </c>
      <c r="R94" s="157">
        <f t="shared" si="17"/>
        <v>142.85714285714286</v>
      </c>
    </row>
    <row r="95" spans="1:18" x14ac:dyDescent="0.25">
      <c r="A95" s="115"/>
      <c r="B95" s="157" t="s">
        <v>699</v>
      </c>
      <c r="C95" s="156">
        <v>11</v>
      </c>
      <c r="D95" s="156" t="s">
        <v>805</v>
      </c>
      <c r="E95" s="156">
        <v>7</v>
      </c>
      <c r="F95" s="156">
        <v>7500</v>
      </c>
      <c r="G95" s="156">
        <v>0</v>
      </c>
      <c r="H95" s="156"/>
      <c r="I95" s="156">
        <v>1</v>
      </c>
      <c r="J95" s="156">
        <v>1</v>
      </c>
      <c r="K95" s="157">
        <f t="shared" si="10"/>
        <v>0</v>
      </c>
      <c r="L95" s="157">
        <f t="shared" si="11"/>
        <v>0</v>
      </c>
      <c r="M95" s="157">
        <f t="shared" si="12"/>
        <v>7500</v>
      </c>
      <c r="N95" s="157">
        <f t="shared" si="13"/>
        <v>7500</v>
      </c>
      <c r="O95" s="157">
        <f t="shared" si="14"/>
        <v>0</v>
      </c>
      <c r="P95" s="157">
        <f t="shared" si="15"/>
        <v>0</v>
      </c>
      <c r="Q95" s="157">
        <f t="shared" si="16"/>
        <v>1071.4285714285713</v>
      </c>
      <c r="R95" s="157">
        <f t="shared" si="17"/>
        <v>1071.4285714285713</v>
      </c>
    </row>
    <row r="96" spans="1:18" x14ac:dyDescent="0.25">
      <c r="A96" s="115"/>
      <c r="B96" s="157" t="s">
        <v>680</v>
      </c>
      <c r="C96" s="156">
        <v>9</v>
      </c>
      <c r="D96" s="156" t="s">
        <v>805</v>
      </c>
      <c r="E96" s="156">
        <v>10</v>
      </c>
      <c r="F96" s="156">
        <v>45000</v>
      </c>
      <c r="G96" s="156">
        <v>1</v>
      </c>
      <c r="H96" s="156"/>
      <c r="I96" s="156">
        <v>1</v>
      </c>
      <c r="J96" s="156">
        <v>1</v>
      </c>
      <c r="K96" s="157">
        <f t="shared" si="10"/>
        <v>45000</v>
      </c>
      <c r="L96" s="157">
        <f t="shared" si="11"/>
        <v>0</v>
      </c>
      <c r="M96" s="157">
        <f t="shared" si="12"/>
        <v>45000</v>
      </c>
      <c r="N96" s="157">
        <f t="shared" si="13"/>
        <v>45000</v>
      </c>
      <c r="O96" s="157">
        <f t="shared" si="14"/>
        <v>4500</v>
      </c>
      <c r="P96" s="157">
        <f t="shared" si="15"/>
        <v>0</v>
      </c>
      <c r="Q96" s="157">
        <f t="shared" si="16"/>
        <v>4500</v>
      </c>
      <c r="R96" s="157">
        <f t="shared" si="17"/>
        <v>4500</v>
      </c>
    </row>
    <row r="97" spans="1:18" x14ac:dyDescent="0.25">
      <c r="A97" s="115"/>
      <c r="B97" s="157" t="s">
        <v>864</v>
      </c>
      <c r="C97" s="156">
        <v>5</v>
      </c>
      <c r="D97" s="156" t="s">
        <v>805</v>
      </c>
      <c r="E97" s="156">
        <v>13</v>
      </c>
      <c r="F97" s="156">
        <v>700000</v>
      </c>
      <c r="G97" s="156">
        <v>0</v>
      </c>
      <c r="H97" s="156"/>
      <c r="I97" s="156">
        <v>0</v>
      </c>
      <c r="J97" s="156">
        <v>4</v>
      </c>
      <c r="K97" s="157">
        <f t="shared" si="10"/>
        <v>0</v>
      </c>
      <c r="L97" s="157">
        <f t="shared" si="11"/>
        <v>0</v>
      </c>
      <c r="M97" s="157">
        <f t="shared" si="12"/>
        <v>0</v>
      </c>
      <c r="N97" s="157">
        <f t="shared" si="13"/>
        <v>2800000</v>
      </c>
      <c r="O97" s="157">
        <f t="shared" si="14"/>
        <v>0</v>
      </c>
      <c r="P97" s="157">
        <f t="shared" si="15"/>
        <v>0</v>
      </c>
      <c r="Q97" s="157">
        <f t="shared" si="16"/>
        <v>0</v>
      </c>
      <c r="R97" s="157">
        <f t="shared" si="17"/>
        <v>215384.61538461538</v>
      </c>
    </row>
    <row r="98" spans="1:18" x14ac:dyDescent="0.25">
      <c r="A98" s="115"/>
      <c r="B98" s="157" t="s">
        <v>865</v>
      </c>
      <c r="C98" s="156">
        <v>5</v>
      </c>
      <c r="D98" s="156" t="s">
        <v>805</v>
      </c>
      <c r="E98" s="156">
        <v>8</v>
      </c>
      <c r="F98" s="156">
        <v>2500</v>
      </c>
      <c r="G98" s="156">
        <v>0</v>
      </c>
      <c r="H98" s="156"/>
      <c r="I98" s="156">
        <v>2</v>
      </c>
      <c r="J98" s="156">
        <v>4</v>
      </c>
      <c r="K98" s="157">
        <f t="shared" si="10"/>
        <v>0</v>
      </c>
      <c r="L98" s="157">
        <f t="shared" si="11"/>
        <v>0</v>
      </c>
      <c r="M98" s="157">
        <f t="shared" si="12"/>
        <v>5000</v>
      </c>
      <c r="N98" s="157">
        <f t="shared" si="13"/>
        <v>10000</v>
      </c>
      <c r="O98" s="157">
        <f t="shared" si="14"/>
        <v>0</v>
      </c>
      <c r="P98" s="157">
        <f t="shared" si="15"/>
        <v>0</v>
      </c>
      <c r="Q98" s="157">
        <f t="shared" si="16"/>
        <v>625</v>
      </c>
      <c r="R98" s="157">
        <f t="shared" si="17"/>
        <v>1250</v>
      </c>
    </row>
    <row r="99" spans="1:18" x14ac:dyDescent="0.25">
      <c r="A99" s="115"/>
      <c r="B99" s="157" t="s">
        <v>866</v>
      </c>
      <c r="C99" s="156">
        <v>5</v>
      </c>
      <c r="D99" s="156" t="s">
        <v>803</v>
      </c>
      <c r="E99" s="156"/>
      <c r="F99" s="156">
        <v>1000</v>
      </c>
      <c r="G99" s="156">
        <v>0</v>
      </c>
      <c r="H99" s="156"/>
      <c r="I99" s="156">
        <v>0</v>
      </c>
      <c r="J99" s="156">
        <v>2</v>
      </c>
      <c r="K99" s="157">
        <f t="shared" si="10"/>
        <v>0</v>
      </c>
      <c r="L99" s="157">
        <f t="shared" si="11"/>
        <v>0</v>
      </c>
      <c r="M99" s="157">
        <f t="shared" si="12"/>
        <v>0</v>
      </c>
      <c r="N99" s="157">
        <f t="shared" si="13"/>
        <v>2000</v>
      </c>
      <c r="O99" s="157">
        <f t="shared" si="14"/>
        <v>0</v>
      </c>
      <c r="P99" s="157">
        <f t="shared" si="15"/>
        <v>0</v>
      </c>
      <c r="Q99" s="157">
        <f t="shared" si="16"/>
        <v>0</v>
      </c>
      <c r="R99" s="157">
        <f t="shared" si="17"/>
        <v>0</v>
      </c>
    </row>
    <row r="100" spans="1:18" x14ac:dyDescent="0.25">
      <c r="A100" s="115"/>
      <c r="B100" s="157" t="s">
        <v>867</v>
      </c>
      <c r="C100" s="156">
        <v>5</v>
      </c>
      <c r="D100" s="156" t="s">
        <v>805</v>
      </c>
      <c r="E100" s="156">
        <v>8</v>
      </c>
      <c r="F100" s="156">
        <v>3000</v>
      </c>
      <c r="G100" s="156">
        <v>0</v>
      </c>
      <c r="H100" s="156">
        <v>1</v>
      </c>
      <c r="I100" s="156">
        <v>0</v>
      </c>
      <c r="J100" s="156">
        <v>1</v>
      </c>
      <c r="K100" s="157">
        <f t="shared" si="10"/>
        <v>0</v>
      </c>
      <c r="L100" s="157">
        <f t="shared" si="11"/>
        <v>3000</v>
      </c>
      <c r="M100" s="157">
        <f t="shared" si="12"/>
        <v>0</v>
      </c>
      <c r="N100" s="157">
        <f t="shared" si="13"/>
        <v>3000</v>
      </c>
      <c r="O100" s="157">
        <f t="shared" si="14"/>
        <v>0</v>
      </c>
      <c r="P100" s="157">
        <f t="shared" si="15"/>
        <v>375</v>
      </c>
      <c r="Q100" s="157">
        <f t="shared" si="16"/>
        <v>0</v>
      </c>
      <c r="R100" s="157">
        <f t="shared" si="17"/>
        <v>375</v>
      </c>
    </row>
    <row r="101" spans="1:18" x14ac:dyDescent="0.25">
      <c r="A101" s="115"/>
      <c r="B101" s="157" t="s">
        <v>868</v>
      </c>
      <c r="C101" s="156">
        <v>6</v>
      </c>
      <c r="D101" s="156" t="s">
        <v>805</v>
      </c>
      <c r="E101" s="156">
        <v>7</v>
      </c>
      <c r="F101" s="156">
        <v>10000</v>
      </c>
      <c r="G101" s="156">
        <v>0</v>
      </c>
      <c r="H101" s="156"/>
      <c r="I101" s="156">
        <v>2</v>
      </c>
      <c r="J101" s="156">
        <v>2</v>
      </c>
      <c r="K101" s="157">
        <f t="shared" si="10"/>
        <v>0</v>
      </c>
      <c r="L101" s="157">
        <f t="shared" si="11"/>
        <v>0</v>
      </c>
      <c r="M101" s="157">
        <f t="shared" si="12"/>
        <v>20000</v>
      </c>
      <c r="N101" s="157">
        <f t="shared" si="13"/>
        <v>20000</v>
      </c>
      <c r="O101" s="157">
        <f t="shared" si="14"/>
        <v>0</v>
      </c>
      <c r="P101" s="157">
        <f t="shared" si="15"/>
        <v>0</v>
      </c>
      <c r="Q101" s="157">
        <f t="shared" si="16"/>
        <v>2857.1428571428573</v>
      </c>
      <c r="R101" s="157">
        <f t="shared" si="17"/>
        <v>2857.1428571428573</v>
      </c>
    </row>
    <row r="102" spans="1:18" x14ac:dyDescent="0.25">
      <c r="A102" s="115"/>
      <c r="B102" s="157" t="s">
        <v>869</v>
      </c>
      <c r="C102" s="156">
        <v>6</v>
      </c>
      <c r="D102" s="156" t="s">
        <v>805</v>
      </c>
      <c r="E102" s="156">
        <v>7</v>
      </c>
      <c r="F102" s="156">
        <v>4000</v>
      </c>
      <c r="G102" s="156">
        <v>0</v>
      </c>
      <c r="H102" s="156"/>
      <c r="I102" s="156">
        <v>1</v>
      </c>
      <c r="J102" s="156">
        <v>2</v>
      </c>
      <c r="K102" s="157">
        <f t="shared" si="10"/>
        <v>0</v>
      </c>
      <c r="L102" s="157">
        <f t="shared" si="11"/>
        <v>0</v>
      </c>
      <c r="M102" s="157">
        <f t="shared" si="12"/>
        <v>4000</v>
      </c>
      <c r="N102" s="157">
        <f t="shared" si="13"/>
        <v>8000</v>
      </c>
      <c r="O102" s="157">
        <f t="shared" si="14"/>
        <v>0</v>
      </c>
      <c r="P102" s="157">
        <f t="shared" si="15"/>
        <v>0</v>
      </c>
      <c r="Q102" s="157">
        <f t="shared" si="16"/>
        <v>571.42857142857144</v>
      </c>
      <c r="R102" s="157">
        <f t="shared" si="17"/>
        <v>1142.8571428571429</v>
      </c>
    </row>
    <row r="103" spans="1:18" x14ac:dyDescent="0.25">
      <c r="A103" s="115"/>
      <c r="B103" s="157" t="s">
        <v>691</v>
      </c>
      <c r="C103" s="156">
        <v>12</v>
      </c>
      <c r="D103" s="156" t="s">
        <v>805</v>
      </c>
      <c r="E103" s="156">
        <v>10</v>
      </c>
      <c r="F103" s="156">
        <v>25000</v>
      </c>
      <c r="G103" s="156">
        <v>0</v>
      </c>
      <c r="H103" s="156"/>
      <c r="I103" s="156">
        <v>1</v>
      </c>
      <c r="J103" s="156">
        <v>1</v>
      </c>
      <c r="K103" s="157">
        <f t="shared" si="10"/>
        <v>0</v>
      </c>
      <c r="L103" s="157">
        <f t="shared" si="11"/>
        <v>0</v>
      </c>
      <c r="M103" s="157">
        <f t="shared" si="12"/>
        <v>25000</v>
      </c>
      <c r="N103" s="157">
        <f t="shared" si="13"/>
        <v>25000</v>
      </c>
      <c r="O103" s="157">
        <f t="shared" si="14"/>
        <v>0</v>
      </c>
      <c r="P103" s="157">
        <f t="shared" si="15"/>
        <v>0</v>
      </c>
      <c r="Q103" s="157">
        <f t="shared" si="16"/>
        <v>2500</v>
      </c>
      <c r="R103" s="157">
        <f t="shared" si="17"/>
        <v>2500</v>
      </c>
    </row>
    <row r="104" spans="1:18" x14ac:dyDescent="0.25">
      <c r="A104" s="115"/>
      <c r="B104" s="157" t="s">
        <v>925</v>
      </c>
      <c r="C104" s="156">
        <v>5</v>
      </c>
      <c r="D104" s="156" t="s">
        <v>805</v>
      </c>
      <c r="E104" s="156">
        <v>7</v>
      </c>
      <c r="F104" s="156">
        <v>1500</v>
      </c>
      <c r="G104" s="156">
        <v>1</v>
      </c>
      <c r="H104" s="156"/>
      <c r="I104" s="156">
        <v>1</v>
      </c>
      <c r="J104" s="156">
        <v>1</v>
      </c>
      <c r="K104" s="157">
        <f t="shared" si="10"/>
        <v>1500</v>
      </c>
      <c r="L104" s="157">
        <f t="shared" si="11"/>
        <v>0</v>
      </c>
      <c r="M104" s="157">
        <f t="shared" si="12"/>
        <v>1500</v>
      </c>
      <c r="N104" s="157">
        <f t="shared" si="13"/>
        <v>1500</v>
      </c>
      <c r="O104" s="157">
        <f t="shared" si="14"/>
        <v>214.28571428571428</v>
      </c>
      <c r="P104" s="157">
        <f t="shared" si="15"/>
        <v>0</v>
      </c>
      <c r="Q104" s="157">
        <f t="shared" si="16"/>
        <v>214.28571428571428</v>
      </c>
      <c r="R104" s="157">
        <f t="shared" si="17"/>
        <v>214.28571428571428</v>
      </c>
    </row>
    <row r="105" spans="1:18" x14ac:dyDescent="0.25">
      <c r="A105" s="115"/>
      <c r="B105" s="159" t="s">
        <v>870</v>
      </c>
      <c r="C105" s="160">
        <v>2</v>
      </c>
      <c r="D105" s="160" t="s">
        <v>805</v>
      </c>
      <c r="E105" s="160">
        <v>5</v>
      </c>
      <c r="F105" s="160">
        <v>450</v>
      </c>
      <c r="G105" s="160">
        <v>2</v>
      </c>
      <c r="H105" s="160">
        <v>2</v>
      </c>
      <c r="I105" s="160">
        <v>18</v>
      </c>
      <c r="J105" s="160">
        <v>22</v>
      </c>
      <c r="K105" s="157">
        <f t="shared" si="10"/>
        <v>900</v>
      </c>
      <c r="L105" s="157">
        <f t="shared" si="11"/>
        <v>900</v>
      </c>
      <c r="M105" s="157">
        <f t="shared" si="12"/>
        <v>8100</v>
      </c>
      <c r="N105" s="157">
        <f t="shared" si="13"/>
        <v>9900</v>
      </c>
      <c r="O105" s="157">
        <f t="shared" si="14"/>
        <v>180</v>
      </c>
      <c r="P105" s="157">
        <f t="shared" si="15"/>
        <v>180</v>
      </c>
      <c r="Q105" s="157">
        <f t="shared" si="16"/>
        <v>1620</v>
      </c>
      <c r="R105" s="157">
        <f t="shared" si="17"/>
        <v>1980</v>
      </c>
    </row>
    <row r="106" spans="1:18" x14ac:dyDescent="0.25">
      <c r="A106" s="115"/>
      <c r="B106" s="159" t="s">
        <v>662</v>
      </c>
      <c r="C106" s="160">
        <v>2</v>
      </c>
      <c r="D106" s="160" t="s">
        <v>805</v>
      </c>
      <c r="E106" s="160">
        <v>5</v>
      </c>
      <c r="F106" s="160">
        <v>200</v>
      </c>
      <c r="G106" s="160">
        <v>2</v>
      </c>
      <c r="H106" s="209">
        <v>1</v>
      </c>
      <c r="I106" s="160">
        <v>8</v>
      </c>
      <c r="J106" s="160">
        <v>8</v>
      </c>
      <c r="K106" s="157">
        <f t="shared" si="10"/>
        <v>400</v>
      </c>
      <c r="L106" s="157">
        <f t="shared" si="11"/>
        <v>200</v>
      </c>
      <c r="M106" s="157">
        <f t="shared" si="12"/>
        <v>1600</v>
      </c>
      <c r="N106" s="157">
        <f t="shared" si="13"/>
        <v>1600</v>
      </c>
      <c r="O106" s="157">
        <f t="shared" si="14"/>
        <v>80</v>
      </c>
      <c r="P106" s="157">
        <f t="shared" si="15"/>
        <v>40</v>
      </c>
      <c r="Q106" s="157">
        <f t="shared" si="16"/>
        <v>320</v>
      </c>
      <c r="R106" s="157">
        <f t="shared" si="17"/>
        <v>320</v>
      </c>
    </row>
    <row r="107" spans="1:18" ht="30" x14ac:dyDescent="0.25">
      <c r="A107" s="115"/>
      <c r="B107" s="157" t="s">
        <v>871</v>
      </c>
      <c r="C107" s="156">
        <v>5</v>
      </c>
      <c r="D107" s="156" t="s">
        <v>805</v>
      </c>
      <c r="E107" s="156">
        <v>10</v>
      </c>
      <c r="F107" s="156">
        <v>10000</v>
      </c>
      <c r="G107" s="156">
        <v>1</v>
      </c>
      <c r="H107" s="156">
        <v>1</v>
      </c>
      <c r="I107" s="156">
        <v>1</v>
      </c>
      <c r="J107" s="156">
        <v>1</v>
      </c>
      <c r="K107" s="157">
        <f t="shared" si="10"/>
        <v>10000</v>
      </c>
      <c r="L107" s="157">
        <f t="shared" si="11"/>
        <v>10000</v>
      </c>
      <c r="M107" s="157">
        <f t="shared" si="12"/>
        <v>10000</v>
      </c>
      <c r="N107" s="157">
        <f t="shared" si="13"/>
        <v>10000</v>
      </c>
      <c r="O107" s="157">
        <f t="shared" si="14"/>
        <v>1000</v>
      </c>
      <c r="P107" s="157">
        <f t="shared" si="15"/>
        <v>1000</v>
      </c>
      <c r="Q107" s="157">
        <f t="shared" si="16"/>
        <v>1000</v>
      </c>
      <c r="R107" s="157">
        <f t="shared" si="17"/>
        <v>1000</v>
      </c>
    </row>
    <row r="108" spans="1:18" x14ac:dyDescent="0.25">
      <c r="A108" s="115"/>
      <c r="B108" s="157" t="s">
        <v>872</v>
      </c>
      <c r="C108" s="156">
        <v>5</v>
      </c>
      <c r="D108" s="156" t="s">
        <v>805</v>
      </c>
      <c r="E108" s="156">
        <v>10</v>
      </c>
      <c r="F108" s="156">
        <v>30000</v>
      </c>
      <c r="G108" s="156">
        <v>0</v>
      </c>
      <c r="H108" s="156"/>
      <c r="I108" s="156">
        <v>2</v>
      </c>
      <c r="J108" s="156">
        <v>2</v>
      </c>
      <c r="K108" s="157">
        <f t="shared" si="10"/>
        <v>0</v>
      </c>
      <c r="L108" s="157">
        <f t="shared" si="11"/>
        <v>0</v>
      </c>
      <c r="M108" s="157">
        <f t="shared" si="12"/>
        <v>60000</v>
      </c>
      <c r="N108" s="157">
        <f t="shared" si="13"/>
        <v>60000</v>
      </c>
      <c r="O108" s="157">
        <f t="shared" si="14"/>
        <v>0</v>
      </c>
      <c r="P108" s="157">
        <f t="shared" si="15"/>
        <v>0</v>
      </c>
      <c r="Q108" s="157">
        <f t="shared" si="16"/>
        <v>6000</v>
      </c>
      <c r="R108" s="157">
        <f t="shared" si="17"/>
        <v>6000</v>
      </c>
    </row>
    <row r="109" spans="1:18" ht="29.25" customHeight="1" x14ac:dyDescent="0.25">
      <c r="A109" s="115"/>
      <c r="B109" s="157" t="s">
        <v>873</v>
      </c>
      <c r="C109" s="156">
        <v>1</v>
      </c>
      <c r="D109" s="156" t="s">
        <v>803</v>
      </c>
      <c r="E109" s="156"/>
      <c r="F109" s="156">
        <v>500</v>
      </c>
      <c r="G109" s="156">
        <v>10</v>
      </c>
      <c r="H109" s="156"/>
      <c r="I109" s="156">
        <v>25</v>
      </c>
      <c r="J109" s="156">
        <v>25</v>
      </c>
      <c r="K109" s="157">
        <f t="shared" si="10"/>
        <v>5000</v>
      </c>
      <c r="L109" s="157">
        <f t="shared" si="11"/>
        <v>0</v>
      </c>
      <c r="M109" s="157">
        <f t="shared" si="12"/>
        <v>12500</v>
      </c>
      <c r="N109" s="157">
        <f t="shared" si="13"/>
        <v>12500</v>
      </c>
      <c r="O109" s="157">
        <f t="shared" si="14"/>
        <v>0</v>
      </c>
      <c r="P109" s="157">
        <f t="shared" si="15"/>
        <v>0</v>
      </c>
      <c r="Q109" s="157">
        <f t="shared" si="16"/>
        <v>0</v>
      </c>
      <c r="R109" s="157">
        <f t="shared" si="17"/>
        <v>0</v>
      </c>
    </row>
    <row r="110" spans="1:18" x14ac:dyDescent="0.25">
      <c r="A110" s="115"/>
      <c r="B110" s="157" t="s">
        <v>874</v>
      </c>
      <c r="C110" s="156">
        <v>5</v>
      </c>
      <c r="D110" s="156" t="s">
        <v>803</v>
      </c>
      <c r="E110" s="156"/>
      <c r="F110" s="156">
        <v>3000</v>
      </c>
      <c r="G110" s="156">
        <v>1</v>
      </c>
      <c r="H110" s="156"/>
      <c r="I110" s="156">
        <v>2</v>
      </c>
      <c r="J110" s="156">
        <v>2</v>
      </c>
      <c r="K110" s="157">
        <f t="shared" si="10"/>
        <v>3000</v>
      </c>
      <c r="L110" s="157">
        <f t="shared" si="11"/>
        <v>0</v>
      </c>
      <c r="M110" s="157">
        <f t="shared" si="12"/>
        <v>6000</v>
      </c>
      <c r="N110" s="157">
        <f t="shared" si="13"/>
        <v>6000</v>
      </c>
      <c r="O110" s="157">
        <f t="shared" si="14"/>
        <v>0</v>
      </c>
      <c r="P110" s="157">
        <f t="shared" si="15"/>
        <v>0</v>
      </c>
      <c r="Q110" s="157">
        <f t="shared" si="16"/>
        <v>0</v>
      </c>
      <c r="R110" s="157">
        <f t="shared" si="17"/>
        <v>0</v>
      </c>
    </row>
    <row r="111" spans="1:18" x14ac:dyDescent="0.25">
      <c r="A111" s="115"/>
      <c r="B111" s="159" t="s">
        <v>875</v>
      </c>
      <c r="C111" s="160">
        <v>2</v>
      </c>
      <c r="D111" s="160" t="s">
        <v>803</v>
      </c>
      <c r="E111" s="160"/>
      <c r="F111" s="160">
        <v>500</v>
      </c>
      <c r="G111" s="160">
        <v>10</v>
      </c>
      <c r="H111" s="160"/>
      <c r="I111" s="160">
        <v>40</v>
      </c>
      <c r="J111" s="160">
        <v>40</v>
      </c>
      <c r="K111" s="157">
        <f t="shared" si="10"/>
        <v>5000</v>
      </c>
      <c r="L111" s="157">
        <f t="shared" si="11"/>
        <v>0</v>
      </c>
      <c r="M111" s="157">
        <f t="shared" si="12"/>
        <v>20000</v>
      </c>
      <c r="N111" s="157">
        <f t="shared" si="13"/>
        <v>20000</v>
      </c>
      <c r="O111" s="157">
        <f t="shared" si="14"/>
        <v>0</v>
      </c>
      <c r="P111" s="157">
        <f t="shared" si="15"/>
        <v>0</v>
      </c>
      <c r="Q111" s="157">
        <f t="shared" si="16"/>
        <v>0</v>
      </c>
      <c r="R111" s="157">
        <f t="shared" si="17"/>
        <v>0</v>
      </c>
    </row>
    <row r="112" spans="1:18" x14ac:dyDescent="0.25">
      <c r="A112" s="115"/>
      <c r="B112" s="157" t="s">
        <v>696</v>
      </c>
      <c r="C112" s="156">
        <v>6</v>
      </c>
      <c r="D112" s="156" t="s">
        <v>803</v>
      </c>
      <c r="E112" s="156"/>
      <c r="F112" s="156">
        <v>300</v>
      </c>
      <c r="G112" s="156">
        <v>0</v>
      </c>
      <c r="H112" s="156"/>
      <c r="I112" s="156">
        <v>2</v>
      </c>
      <c r="J112" s="156">
        <v>6</v>
      </c>
      <c r="K112" s="157">
        <f t="shared" si="10"/>
        <v>0</v>
      </c>
      <c r="L112" s="157">
        <f t="shared" si="11"/>
        <v>0</v>
      </c>
      <c r="M112" s="157">
        <f t="shared" si="12"/>
        <v>600</v>
      </c>
      <c r="N112" s="157">
        <f t="shared" si="13"/>
        <v>1800</v>
      </c>
      <c r="O112" s="157">
        <f t="shared" si="14"/>
        <v>0</v>
      </c>
      <c r="P112" s="157">
        <f t="shared" si="15"/>
        <v>0</v>
      </c>
      <c r="Q112" s="157">
        <f t="shared" si="16"/>
        <v>0</v>
      </c>
      <c r="R112" s="157">
        <f t="shared" si="17"/>
        <v>0</v>
      </c>
    </row>
    <row r="113" spans="1:18" x14ac:dyDescent="0.25">
      <c r="A113" s="115"/>
      <c r="B113" s="157" t="s">
        <v>876</v>
      </c>
      <c r="C113" s="156">
        <v>8</v>
      </c>
      <c r="D113" s="156" t="s">
        <v>803</v>
      </c>
      <c r="E113" s="156"/>
      <c r="F113" s="156">
        <v>200</v>
      </c>
      <c r="G113" s="156">
        <v>0</v>
      </c>
      <c r="H113" s="156"/>
      <c r="I113" s="156">
        <v>0</v>
      </c>
      <c r="J113" s="156">
        <v>1</v>
      </c>
      <c r="K113" s="157">
        <f t="shared" si="10"/>
        <v>0</v>
      </c>
      <c r="L113" s="157">
        <f t="shared" si="11"/>
        <v>0</v>
      </c>
      <c r="M113" s="157">
        <f t="shared" si="12"/>
        <v>0</v>
      </c>
      <c r="N113" s="157">
        <f t="shared" si="13"/>
        <v>200</v>
      </c>
      <c r="O113" s="157">
        <f t="shared" si="14"/>
        <v>0</v>
      </c>
      <c r="P113" s="157">
        <f t="shared" si="15"/>
        <v>0</v>
      </c>
      <c r="Q113" s="157">
        <f t="shared" si="16"/>
        <v>0</v>
      </c>
      <c r="R113" s="157">
        <f t="shared" si="17"/>
        <v>0</v>
      </c>
    </row>
    <row r="114" spans="1:18" x14ac:dyDescent="0.25">
      <c r="A114" s="115"/>
      <c r="B114" s="157" t="s">
        <v>877</v>
      </c>
      <c r="C114" s="156">
        <v>7</v>
      </c>
      <c r="D114" s="156" t="s">
        <v>805</v>
      </c>
      <c r="E114" s="156">
        <v>5</v>
      </c>
      <c r="F114" s="156">
        <v>200</v>
      </c>
      <c r="G114" s="156">
        <v>0</v>
      </c>
      <c r="H114" s="156"/>
      <c r="I114" s="156">
        <v>0</v>
      </c>
      <c r="J114" s="156">
        <v>2</v>
      </c>
      <c r="K114" s="157">
        <f t="shared" si="10"/>
        <v>0</v>
      </c>
      <c r="L114" s="157">
        <f t="shared" si="11"/>
        <v>0</v>
      </c>
      <c r="M114" s="157">
        <f t="shared" si="12"/>
        <v>0</v>
      </c>
      <c r="N114" s="157">
        <f t="shared" si="13"/>
        <v>400</v>
      </c>
      <c r="O114" s="157">
        <f t="shared" si="14"/>
        <v>0</v>
      </c>
      <c r="P114" s="157">
        <f t="shared" si="15"/>
        <v>0</v>
      </c>
      <c r="Q114" s="157">
        <f t="shared" si="16"/>
        <v>0</v>
      </c>
      <c r="R114" s="157">
        <f t="shared" si="17"/>
        <v>80</v>
      </c>
    </row>
    <row r="115" spans="1:18" x14ac:dyDescent="0.25">
      <c r="A115" s="115"/>
      <c r="B115" s="159" t="s">
        <v>878</v>
      </c>
      <c r="C115" s="160">
        <v>2</v>
      </c>
      <c r="D115" s="160" t="s">
        <v>805</v>
      </c>
      <c r="E115" s="160">
        <v>5</v>
      </c>
      <c r="F115" s="160">
        <v>5000</v>
      </c>
      <c r="G115" s="160">
        <v>2</v>
      </c>
      <c r="H115" s="160">
        <v>1</v>
      </c>
      <c r="I115" s="160">
        <v>3</v>
      </c>
      <c r="J115" s="160">
        <v>10</v>
      </c>
      <c r="K115" s="157">
        <f t="shared" si="10"/>
        <v>10000</v>
      </c>
      <c r="L115" s="157">
        <f t="shared" si="11"/>
        <v>5000</v>
      </c>
      <c r="M115" s="157">
        <f t="shared" si="12"/>
        <v>15000</v>
      </c>
      <c r="N115" s="157">
        <f t="shared" si="13"/>
        <v>50000</v>
      </c>
      <c r="O115" s="157">
        <f t="shared" si="14"/>
        <v>2000</v>
      </c>
      <c r="P115" s="157">
        <f t="shared" si="15"/>
        <v>1000</v>
      </c>
      <c r="Q115" s="157">
        <f t="shared" si="16"/>
        <v>3000</v>
      </c>
      <c r="R115" s="157">
        <f t="shared" si="17"/>
        <v>10000</v>
      </c>
    </row>
    <row r="116" spans="1:18" x14ac:dyDescent="0.25">
      <c r="A116" s="115"/>
      <c r="B116" s="157" t="s">
        <v>879</v>
      </c>
      <c r="C116" s="156">
        <v>5</v>
      </c>
      <c r="D116" s="156" t="s">
        <v>805</v>
      </c>
      <c r="E116" s="156">
        <v>5</v>
      </c>
      <c r="F116" s="156">
        <v>100</v>
      </c>
      <c r="G116" s="156">
        <v>4</v>
      </c>
      <c r="H116" s="156">
        <v>1</v>
      </c>
      <c r="I116" s="156">
        <v>25</v>
      </c>
      <c r="J116" s="156">
        <v>30</v>
      </c>
      <c r="K116" s="157">
        <f t="shared" si="10"/>
        <v>400</v>
      </c>
      <c r="L116" s="157">
        <f t="shared" si="11"/>
        <v>100</v>
      </c>
      <c r="M116" s="157">
        <f t="shared" si="12"/>
        <v>2500</v>
      </c>
      <c r="N116" s="157">
        <f t="shared" si="13"/>
        <v>3000</v>
      </c>
      <c r="O116" s="157">
        <f t="shared" si="14"/>
        <v>80</v>
      </c>
      <c r="P116" s="157">
        <f t="shared" si="15"/>
        <v>20</v>
      </c>
      <c r="Q116" s="157">
        <f t="shared" si="16"/>
        <v>500</v>
      </c>
      <c r="R116" s="157">
        <f t="shared" si="17"/>
        <v>600</v>
      </c>
    </row>
    <row r="117" spans="1:18" x14ac:dyDescent="0.25">
      <c r="A117" s="115"/>
      <c r="B117" s="157" t="s">
        <v>678</v>
      </c>
      <c r="C117" s="156">
        <v>5</v>
      </c>
      <c r="D117" s="156" t="s">
        <v>805</v>
      </c>
      <c r="E117" s="156">
        <v>7</v>
      </c>
      <c r="F117" s="156">
        <v>10000</v>
      </c>
      <c r="G117" s="156">
        <v>2</v>
      </c>
      <c r="H117" s="156">
        <v>1</v>
      </c>
      <c r="I117" s="156">
        <v>4</v>
      </c>
      <c r="J117" s="156">
        <v>4</v>
      </c>
      <c r="K117" s="157">
        <f t="shared" si="10"/>
        <v>20000</v>
      </c>
      <c r="L117" s="157">
        <f t="shared" si="11"/>
        <v>10000</v>
      </c>
      <c r="M117" s="157">
        <f t="shared" si="12"/>
        <v>40000</v>
      </c>
      <c r="N117" s="157">
        <f t="shared" si="13"/>
        <v>40000</v>
      </c>
      <c r="O117" s="157">
        <f t="shared" si="14"/>
        <v>2857.1428571428573</v>
      </c>
      <c r="P117" s="157">
        <f t="shared" si="15"/>
        <v>1428.5714285714287</v>
      </c>
      <c r="Q117" s="157">
        <f t="shared" si="16"/>
        <v>5714.2857142857147</v>
      </c>
      <c r="R117" s="157">
        <f t="shared" si="17"/>
        <v>5714.2857142857147</v>
      </c>
    </row>
    <row r="118" spans="1:18" x14ac:dyDescent="0.25">
      <c r="A118" s="115"/>
      <c r="B118" s="157" t="s">
        <v>880</v>
      </c>
      <c r="C118" s="156">
        <v>6</v>
      </c>
      <c r="D118" s="156" t="s">
        <v>805</v>
      </c>
      <c r="E118" s="156">
        <v>5</v>
      </c>
      <c r="F118" s="156">
        <v>250</v>
      </c>
      <c r="G118" s="156">
        <v>0</v>
      </c>
      <c r="H118" s="156"/>
      <c r="I118" s="156">
        <v>2</v>
      </c>
      <c r="J118" s="156">
        <v>2</v>
      </c>
      <c r="K118" s="157">
        <f t="shared" si="10"/>
        <v>0</v>
      </c>
      <c r="L118" s="157">
        <f t="shared" si="11"/>
        <v>0</v>
      </c>
      <c r="M118" s="157">
        <f t="shared" si="12"/>
        <v>500</v>
      </c>
      <c r="N118" s="157">
        <f t="shared" si="13"/>
        <v>500</v>
      </c>
      <c r="O118" s="157">
        <f t="shared" si="14"/>
        <v>0</v>
      </c>
      <c r="P118" s="157">
        <f t="shared" si="15"/>
        <v>0</v>
      </c>
      <c r="Q118" s="157">
        <f t="shared" si="16"/>
        <v>100</v>
      </c>
      <c r="R118" s="157">
        <f t="shared" si="17"/>
        <v>100</v>
      </c>
    </row>
    <row r="119" spans="1:18" x14ac:dyDescent="0.25">
      <c r="A119" s="115"/>
      <c r="B119" s="157" t="s">
        <v>703</v>
      </c>
      <c r="C119" s="156">
        <v>13</v>
      </c>
      <c r="D119" s="156" t="s">
        <v>805</v>
      </c>
      <c r="E119" s="156">
        <v>8</v>
      </c>
      <c r="F119" s="156">
        <v>3000</v>
      </c>
      <c r="G119" s="156">
        <v>4</v>
      </c>
      <c r="H119" s="156"/>
      <c r="I119" s="156">
        <v>7</v>
      </c>
      <c r="J119" s="156">
        <v>7</v>
      </c>
      <c r="K119" s="157">
        <f t="shared" si="10"/>
        <v>12000</v>
      </c>
      <c r="L119" s="157">
        <f t="shared" si="11"/>
        <v>0</v>
      </c>
      <c r="M119" s="157">
        <f t="shared" si="12"/>
        <v>21000</v>
      </c>
      <c r="N119" s="157">
        <f t="shared" si="13"/>
        <v>21000</v>
      </c>
      <c r="O119" s="157">
        <f t="shared" si="14"/>
        <v>1500</v>
      </c>
      <c r="P119" s="157">
        <f t="shared" si="15"/>
        <v>0</v>
      </c>
      <c r="Q119" s="157">
        <f t="shared" si="16"/>
        <v>2625</v>
      </c>
      <c r="R119" s="157">
        <f t="shared" si="17"/>
        <v>2625</v>
      </c>
    </row>
    <row r="120" spans="1:18" x14ac:dyDescent="0.25">
      <c r="A120" s="115"/>
      <c r="B120" s="157" t="s">
        <v>704</v>
      </c>
      <c r="C120" s="156">
        <v>13</v>
      </c>
      <c r="D120" s="156" t="s">
        <v>805</v>
      </c>
      <c r="E120" s="156">
        <v>8</v>
      </c>
      <c r="F120" s="156">
        <v>1500</v>
      </c>
      <c r="G120" s="156">
        <v>4</v>
      </c>
      <c r="H120" s="156"/>
      <c r="I120" s="156">
        <v>7</v>
      </c>
      <c r="J120" s="156">
        <v>7</v>
      </c>
      <c r="K120" s="157">
        <f t="shared" si="10"/>
        <v>6000</v>
      </c>
      <c r="L120" s="157">
        <f t="shared" si="11"/>
        <v>0</v>
      </c>
      <c r="M120" s="157">
        <f t="shared" si="12"/>
        <v>10500</v>
      </c>
      <c r="N120" s="157">
        <f t="shared" si="13"/>
        <v>10500</v>
      </c>
      <c r="O120" s="157">
        <f t="shared" si="14"/>
        <v>750</v>
      </c>
      <c r="P120" s="157">
        <f t="shared" si="15"/>
        <v>0</v>
      </c>
      <c r="Q120" s="157">
        <f t="shared" si="16"/>
        <v>1312.5</v>
      </c>
      <c r="R120" s="157">
        <f t="shared" si="17"/>
        <v>1312.5</v>
      </c>
    </row>
    <row r="121" spans="1:18" x14ac:dyDescent="0.25">
      <c r="A121" s="115"/>
      <c r="B121" s="157" t="s">
        <v>702</v>
      </c>
      <c r="C121" s="156">
        <v>13</v>
      </c>
      <c r="D121" s="156" t="s">
        <v>805</v>
      </c>
      <c r="E121" s="156">
        <v>8</v>
      </c>
      <c r="F121" s="156">
        <v>2000</v>
      </c>
      <c r="G121" s="156">
        <v>4</v>
      </c>
      <c r="H121" s="156"/>
      <c r="I121" s="156">
        <v>7</v>
      </c>
      <c r="J121" s="156">
        <v>7</v>
      </c>
      <c r="K121" s="157">
        <f t="shared" si="10"/>
        <v>8000</v>
      </c>
      <c r="L121" s="157">
        <f t="shared" si="11"/>
        <v>0</v>
      </c>
      <c r="M121" s="157">
        <f t="shared" si="12"/>
        <v>14000</v>
      </c>
      <c r="N121" s="157">
        <f t="shared" si="13"/>
        <v>14000</v>
      </c>
      <c r="O121" s="157">
        <f t="shared" si="14"/>
        <v>1000</v>
      </c>
      <c r="P121" s="157">
        <f t="shared" si="15"/>
        <v>0</v>
      </c>
      <c r="Q121" s="157">
        <f t="shared" si="16"/>
        <v>1750</v>
      </c>
      <c r="R121" s="157">
        <f t="shared" si="17"/>
        <v>1750</v>
      </c>
    </row>
    <row r="122" spans="1:18" x14ac:dyDescent="0.25">
      <c r="A122" s="115"/>
      <c r="B122" s="157" t="s">
        <v>881</v>
      </c>
      <c r="C122" s="156">
        <v>6</v>
      </c>
      <c r="D122" s="156" t="s">
        <v>805</v>
      </c>
      <c r="E122" s="156">
        <v>10</v>
      </c>
      <c r="F122" s="156">
        <v>200000</v>
      </c>
      <c r="G122" s="156">
        <v>0</v>
      </c>
      <c r="H122" s="156"/>
      <c r="I122" s="156">
        <v>1</v>
      </c>
      <c r="J122" s="156">
        <v>1</v>
      </c>
      <c r="K122" s="157">
        <f t="shared" si="10"/>
        <v>0</v>
      </c>
      <c r="L122" s="157">
        <f t="shared" si="11"/>
        <v>0</v>
      </c>
      <c r="M122" s="157">
        <f t="shared" si="12"/>
        <v>200000</v>
      </c>
      <c r="N122" s="157">
        <f t="shared" si="13"/>
        <v>200000</v>
      </c>
      <c r="O122" s="157">
        <f t="shared" si="14"/>
        <v>0</v>
      </c>
      <c r="P122" s="157">
        <f t="shared" si="15"/>
        <v>0</v>
      </c>
      <c r="Q122" s="157">
        <f t="shared" si="16"/>
        <v>20000</v>
      </c>
      <c r="R122" s="157">
        <f t="shared" si="17"/>
        <v>20000</v>
      </c>
    </row>
    <row r="123" spans="1:18" x14ac:dyDescent="0.25">
      <c r="A123" s="115"/>
      <c r="B123" s="159" t="s">
        <v>656</v>
      </c>
      <c r="C123" s="160">
        <v>2</v>
      </c>
      <c r="D123" s="160" t="s">
        <v>803</v>
      </c>
      <c r="E123" s="160"/>
      <c r="F123" s="160">
        <v>200</v>
      </c>
      <c r="G123" s="160">
        <v>2</v>
      </c>
      <c r="H123" s="160"/>
      <c r="I123" s="160">
        <v>4</v>
      </c>
      <c r="J123" s="160">
        <v>4</v>
      </c>
      <c r="K123" s="157">
        <f t="shared" si="10"/>
        <v>400</v>
      </c>
      <c r="L123" s="157">
        <f t="shared" si="11"/>
        <v>0</v>
      </c>
      <c r="M123" s="157">
        <f t="shared" si="12"/>
        <v>800</v>
      </c>
      <c r="N123" s="157">
        <f t="shared" si="13"/>
        <v>800</v>
      </c>
      <c r="O123" s="157">
        <f t="shared" si="14"/>
        <v>0</v>
      </c>
      <c r="P123" s="157">
        <f t="shared" si="15"/>
        <v>0</v>
      </c>
      <c r="Q123" s="157">
        <f t="shared" si="16"/>
        <v>0</v>
      </c>
      <c r="R123" s="157">
        <f t="shared" si="17"/>
        <v>0</v>
      </c>
    </row>
    <row r="124" spans="1:18" x14ac:dyDescent="0.25">
      <c r="A124" s="115"/>
      <c r="B124" s="157" t="s">
        <v>882</v>
      </c>
      <c r="C124" s="156">
        <v>6</v>
      </c>
      <c r="D124" s="156" t="s">
        <v>805</v>
      </c>
      <c r="E124" s="156">
        <v>5</v>
      </c>
      <c r="F124" s="156">
        <v>20000</v>
      </c>
      <c r="G124" s="156">
        <v>1</v>
      </c>
      <c r="H124" s="156"/>
      <c r="I124" s="156">
        <v>4</v>
      </c>
      <c r="J124" s="156">
        <v>4</v>
      </c>
      <c r="K124" s="157">
        <f t="shared" si="10"/>
        <v>20000</v>
      </c>
      <c r="L124" s="157">
        <f t="shared" si="11"/>
        <v>0</v>
      </c>
      <c r="M124" s="157">
        <f t="shared" si="12"/>
        <v>80000</v>
      </c>
      <c r="N124" s="157">
        <f t="shared" si="13"/>
        <v>80000</v>
      </c>
      <c r="O124" s="157">
        <f t="shared" si="14"/>
        <v>4000</v>
      </c>
      <c r="P124" s="157">
        <f t="shared" si="15"/>
        <v>0</v>
      </c>
      <c r="Q124" s="157">
        <f t="shared" si="16"/>
        <v>16000</v>
      </c>
      <c r="R124" s="157">
        <f t="shared" si="17"/>
        <v>16000</v>
      </c>
    </row>
    <row r="125" spans="1:18" x14ac:dyDescent="0.25">
      <c r="A125" s="115"/>
      <c r="B125" s="157" t="s">
        <v>883</v>
      </c>
      <c r="C125" s="156">
        <v>5</v>
      </c>
      <c r="D125" s="156" t="s">
        <v>805</v>
      </c>
      <c r="E125" s="156">
        <v>13</v>
      </c>
      <c r="F125" s="156">
        <v>1800000</v>
      </c>
      <c r="G125" s="156">
        <v>0</v>
      </c>
      <c r="H125" s="156"/>
      <c r="I125" s="156">
        <v>0</v>
      </c>
      <c r="J125" s="156">
        <v>1</v>
      </c>
      <c r="K125" s="157">
        <f t="shared" si="10"/>
        <v>0</v>
      </c>
      <c r="L125" s="157">
        <f t="shared" si="11"/>
        <v>0</v>
      </c>
      <c r="M125" s="157">
        <f t="shared" si="12"/>
        <v>0</v>
      </c>
      <c r="N125" s="157">
        <f t="shared" si="13"/>
        <v>1800000</v>
      </c>
      <c r="O125" s="157">
        <f t="shared" si="14"/>
        <v>0</v>
      </c>
      <c r="P125" s="157">
        <f t="shared" si="15"/>
        <v>0</v>
      </c>
      <c r="Q125" s="157">
        <f t="shared" si="16"/>
        <v>0</v>
      </c>
      <c r="R125" s="157">
        <f t="shared" si="17"/>
        <v>138461.53846153847</v>
      </c>
    </row>
    <row r="126" spans="1:18" x14ac:dyDescent="0.25">
      <c r="A126" s="115"/>
      <c r="B126" s="159" t="s">
        <v>659</v>
      </c>
      <c r="C126" s="160">
        <v>2</v>
      </c>
      <c r="D126" s="160" t="s">
        <v>805</v>
      </c>
      <c r="E126" s="160">
        <v>5</v>
      </c>
      <c r="F126" s="160">
        <v>400</v>
      </c>
      <c r="G126" s="160">
        <v>2</v>
      </c>
      <c r="H126" s="160"/>
      <c r="I126" s="160">
        <v>3</v>
      </c>
      <c r="J126" s="160">
        <v>3</v>
      </c>
      <c r="K126" s="157">
        <f t="shared" si="10"/>
        <v>800</v>
      </c>
      <c r="L126" s="157">
        <f t="shared" si="11"/>
        <v>0</v>
      </c>
      <c r="M126" s="157">
        <f t="shared" si="12"/>
        <v>1200</v>
      </c>
      <c r="N126" s="157">
        <f t="shared" si="13"/>
        <v>1200</v>
      </c>
      <c r="O126" s="157">
        <f t="shared" si="14"/>
        <v>160</v>
      </c>
      <c r="P126" s="157">
        <f t="shared" si="15"/>
        <v>0</v>
      </c>
      <c r="Q126" s="157">
        <f t="shared" si="16"/>
        <v>240</v>
      </c>
      <c r="R126" s="157">
        <f t="shared" si="17"/>
        <v>240</v>
      </c>
    </row>
    <row r="127" spans="1:18" x14ac:dyDescent="0.25">
      <c r="A127" s="115"/>
      <c r="B127" s="157" t="s">
        <v>672</v>
      </c>
      <c r="C127" s="156">
        <v>3</v>
      </c>
      <c r="D127" s="156" t="s">
        <v>805</v>
      </c>
      <c r="E127" s="156">
        <v>7</v>
      </c>
      <c r="F127" s="156">
        <v>5000</v>
      </c>
      <c r="G127" s="156">
        <v>0</v>
      </c>
      <c r="H127" s="156"/>
      <c r="I127" s="156">
        <v>2</v>
      </c>
      <c r="J127" s="156">
        <v>2</v>
      </c>
      <c r="K127" s="157">
        <f t="shared" si="10"/>
        <v>0</v>
      </c>
      <c r="L127" s="157">
        <f t="shared" si="11"/>
        <v>0</v>
      </c>
      <c r="M127" s="157">
        <f t="shared" si="12"/>
        <v>10000</v>
      </c>
      <c r="N127" s="157">
        <f t="shared" si="13"/>
        <v>10000</v>
      </c>
      <c r="O127" s="157">
        <f t="shared" si="14"/>
        <v>0</v>
      </c>
      <c r="P127" s="157">
        <f t="shared" si="15"/>
        <v>0</v>
      </c>
      <c r="Q127" s="157">
        <f t="shared" si="16"/>
        <v>1428.5714285714287</v>
      </c>
      <c r="R127" s="157">
        <f t="shared" si="17"/>
        <v>1428.5714285714287</v>
      </c>
    </row>
    <row r="128" spans="1:18" x14ac:dyDescent="0.25">
      <c r="A128" s="115"/>
      <c r="B128" s="157" t="s">
        <v>884</v>
      </c>
      <c r="C128" s="156">
        <v>13</v>
      </c>
      <c r="D128" s="156" t="s">
        <v>805</v>
      </c>
      <c r="E128" s="156">
        <v>5</v>
      </c>
      <c r="F128" s="156">
        <v>1000</v>
      </c>
      <c r="G128" s="156">
        <v>3</v>
      </c>
      <c r="H128" s="156"/>
      <c r="I128" s="156">
        <v>5</v>
      </c>
      <c r="J128" s="156">
        <v>5</v>
      </c>
      <c r="K128" s="157">
        <f t="shared" si="10"/>
        <v>3000</v>
      </c>
      <c r="L128" s="157">
        <f t="shared" si="11"/>
        <v>0</v>
      </c>
      <c r="M128" s="157">
        <f t="shared" si="12"/>
        <v>5000</v>
      </c>
      <c r="N128" s="157">
        <f t="shared" si="13"/>
        <v>5000</v>
      </c>
      <c r="O128" s="157">
        <f t="shared" si="14"/>
        <v>600</v>
      </c>
      <c r="P128" s="157">
        <f t="shared" si="15"/>
        <v>0</v>
      </c>
      <c r="Q128" s="157">
        <f t="shared" si="16"/>
        <v>1000</v>
      </c>
      <c r="R128" s="157">
        <f t="shared" si="17"/>
        <v>1000</v>
      </c>
    </row>
    <row r="129" spans="1:18" x14ac:dyDescent="0.25">
      <c r="A129" s="115"/>
      <c r="B129" s="157" t="s">
        <v>673</v>
      </c>
      <c r="C129" s="156">
        <v>3</v>
      </c>
      <c r="D129" s="156" t="s">
        <v>805</v>
      </c>
      <c r="E129" s="156">
        <v>7</v>
      </c>
      <c r="F129" s="156">
        <v>500</v>
      </c>
      <c r="G129" s="156">
        <v>0</v>
      </c>
      <c r="H129" s="156"/>
      <c r="I129" s="156">
        <v>1</v>
      </c>
      <c r="J129" s="156">
        <v>1</v>
      </c>
      <c r="K129" s="157">
        <f t="shared" si="10"/>
        <v>0</v>
      </c>
      <c r="L129" s="157">
        <f t="shared" si="11"/>
        <v>0</v>
      </c>
      <c r="M129" s="157">
        <f t="shared" si="12"/>
        <v>500</v>
      </c>
      <c r="N129" s="157">
        <f t="shared" si="13"/>
        <v>500</v>
      </c>
      <c r="O129" s="157">
        <f t="shared" si="14"/>
        <v>0</v>
      </c>
      <c r="P129" s="157">
        <f t="shared" si="15"/>
        <v>0</v>
      </c>
      <c r="Q129" s="157">
        <f t="shared" si="16"/>
        <v>71.428571428571431</v>
      </c>
      <c r="R129" s="157">
        <f t="shared" si="17"/>
        <v>71.428571428571431</v>
      </c>
    </row>
    <row r="130" spans="1:18" x14ac:dyDescent="0.25">
      <c r="A130" s="115"/>
      <c r="B130" s="157" t="s">
        <v>885</v>
      </c>
      <c r="C130" s="156">
        <v>1</v>
      </c>
      <c r="D130" s="156" t="s">
        <v>805</v>
      </c>
      <c r="E130" s="156">
        <v>7</v>
      </c>
      <c r="F130" s="156">
        <v>20000</v>
      </c>
      <c r="G130" s="156">
        <v>1</v>
      </c>
      <c r="H130" s="156"/>
      <c r="I130" s="156">
        <v>1</v>
      </c>
      <c r="J130" s="156">
        <v>1</v>
      </c>
      <c r="K130" s="157">
        <f t="shared" si="10"/>
        <v>20000</v>
      </c>
      <c r="L130" s="157">
        <f t="shared" si="11"/>
        <v>0</v>
      </c>
      <c r="M130" s="157">
        <f t="shared" si="12"/>
        <v>20000</v>
      </c>
      <c r="N130" s="157">
        <f t="shared" si="13"/>
        <v>20000</v>
      </c>
      <c r="O130" s="157">
        <f t="shared" si="14"/>
        <v>2857.1428571428573</v>
      </c>
      <c r="P130" s="157">
        <f t="shared" si="15"/>
        <v>0</v>
      </c>
      <c r="Q130" s="157">
        <f t="shared" si="16"/>
        <v>2857.1428571428573</v>
      </c>
      <c r="R130" s="157">
        <f t="shared" si="17"/>
        <v>2857.1428571428573</v>
      </c>
    </row>
    <row r="131" spans="1:18" x14ac:dyDescent="0.25">
      <c r="A131" s="115"/>
      <c r="B131" s="157" t="s">
        <v>886</v>
      </c>
      <c r="C131" s="156">
        <v>5</v>
      </c>
      <c r="D131" s="156" t="s">
        <v>805</v>
      </c>
      <c r="E131" s="156">
        <v>10</v>
      </c>
      <c r="F131" s="156">
        <v>200000</v>
      </c>
      <c r="G131" s="156">
        <v>0</v>
      </c>
      <c r="H131" s="156"/>
      <c r="I131" s="156">
        <v>0</v>
      </c>
      <c r="J131" s="156">
        <v>2</v>
      </c>
      <c r="K131" s="157">
        <f t="shared" si="10"/>
        <v>0</v>
      </c>
      <c r="L131" s="157">
        <f t="shared" si="11"/>
        <v>0</v>
      </c>
      <c r="M131" s="157">
        <f t="shared" si="12"/>
        <v>0</v>
      </c>
      <c r="N131" s="157">
        <f t="shared" si="13"/>
        <v>400000</v>
      </c>
      <c r="O131" s="157">
        <f t="shared" si="14"/>
        <v>0</v>
      </c>
      <c r="P131" s="157">
        <f t="shared" si="15"/>
        <v>0</v>
      </c>
      <c r="Q131" s="157">
        <f t="shared" si="16"/>
        <v>0</v>
      </c>
      <c r="R131" s="157">
        <f t="shared" si="17"/>
        <v>40000</v>
      </c>
    </row>
    <row r="132" spans="1:18" x14ac:dyDescent="0.25">
      <c r="A132" s="115"/>
      <c r="B132" s="157" t="s">
        <v>887</v>
      </c>
      <c r="C132" s="156">
        <v>5</v>
      </c>
      <c r="D132" s="156" t="s">
        <v>805</v>
      </c>
      <c r="E132" s="156">
        <v>5</v>
      </c>
      <c r="F132" s="156">
        <v>100</v>
      </c>
      <c r="G132" s="156">
        <v>2</v>
      </c>
      <c r="H132" s="156"/>
      <c r="I132" s="156">
        <v>3</v>
      </c>
      <c r="J132" s="156">
        <v>3</v>
      </c>
      <c r="K132" s="157">
        <f t="shared" si="10"/>
        <v>200</v>
      </c>
      <c r="L132" s="157">
        <f t="shared" si="11"/>
        <v>0</v>
      </c>
      <c r="M132" s="157">
        <f t="shared" si="12"/>
        <v>300</v>
      </c>
      <c r="N132" s="157">
        <f t="shared" si="13"/>
        <v>300</v>
      </c>
      <c r="O132" s="157">
        <f t="shared" si="14"/>
        <v>40</v>
      </c>
      <c r="P132" s="157">
        <f t="shared" si="15"/>
        <v>0</v>
      </c>
      <c r="Q132" s="157">
        <f t="shared" si="16"/>
        <v>60</v>
      </c>
      <c r="R132" s="157">
        <f t="shared" si="17"/>
        <v>60</v>
      </c>
    </row>
    <row r="133" spans="1:18" x14ac:dyDescent="0.25">
      <c r="A133" s="115"/>
      <c r="B133" s="157" t="s">
        <v>888</v>
      </c>
      <c r="C133" s="156">
        <v>10</v>
      </c>
      <c r="D133" s="156" t="s">
        <v>803</v>
      </c>
      <c r="E133" s="156"/>
      <c r="F133" s="156">
        <v>500</v>
      </c>
      <c r="G133" s="156">
        <v>1</v>
      </c>
      <c r="H133" s="156"/>
      <c r="I133" s="156">
        <v>2</v>
      </c>
      <c r="J133" s="156">
        <v>2</v>
      </c>
      <c r="K133" s="157">
        <f t="shared" si="10"/>
        <v>500</v>
      </c>
      <c r="L133" s="157">
        <f t="shared" si="11"/>
        <v>0</v>
      </c>
      <c r="M133" s="157">
        <f t="shared" si="12"/>
        <v>1000</v>
      </c>
      <c r="N133" s="157">
        <f t="shared" si="13"/>
        <v>1000</v>
      </c>
      <c r="O133" s="157">
        <f t="shared" si="14"/>
        <v>0</v>
      </c>
      <c r="P133" s="157">
        <f t="shared" si="15"/>
        <v>0</v>
      </c>
      <c r="Q133" s="157">
        <f t="shared" si="16"/>
        <v>0</v>
      </c>
      <c r="R133" s="157">
        <f t="shared" si="17"/>
        <v>0</v>
      </c>
    </row>
    <row r="134" spans="1:18" x14ac:dyDescent="0.25">
      <c r="A134" s="115"/>
      <c r="B134" s="157" t="s">
        <v>889</v>
      </c>
      <c r="C134" s="156">
        <v>11</v>
      </c>
      <c r="D134" s="156" t="s">
        <v>803</v>
      </c>
      <c r="E134" s="156"/>
      <c r="F134" s="156">
        <v>2000</v>
      </c>
      <c r="G134" s="156">
        <v>0</v>
      </c>
      <c r="H134" s="156"/>
      <c r="I134" s="156">
        <v>1</v>
      </c>
      <c r="J134" s="156">
        <v>1</v>
      </c>
      <c r="K134" s="157">
        <f t="shared" ref="K134:K184" si="18">IF($F134*G134&gt;0,$F134*G134,0)</f>
        <v>0</v>
      </c>
      <c r="L134" s="157">
        <f t="shared" ref="L134:L184" si="19">IF($F134*H134&gt;0,$F134*H134,0)</f>
        <v>0</v>
      </c>
      <c r="M134" s="157">
        <f t="shared" ref="M134:M184" si="20">IF($F134*I134&gt;0,$F134*I134,0)</f>
        <v>2000</v>
      </c>
      <c r="N134" s="157">
        <f t="shared" ref="N134:N184" si="21">IF($F134*J134&gt;0,$F134*J134,0)</f>
        <v>2000</v>
      </c>
      <c r="O134" s="157">
        <f t="shared" ref="O134:O184" si="22">IF($D134="e",K134/$E134,0)</f>
        <v>0</v>
      </c>
      <c r="P134" s="157">
        <f t="shared" ref="P134:P184" si="23">IF($D134="e",L134/$E134,0)</f>
        <v>0</v>
      </c>
      <c r="Q134" s="157">
        <f t="shared" ref="Q134:Q184" si="24">IF($D134="e",M134/$E134,0)</f>
        <v>0</v>
      </c>
      <c r="R134" s="157">
        <f t="shared" ref="R134:R184" si="25">IF($D134="e",N134/$E134,0)</f>
        <v>0</v>
      </c>
    </row>
    <row r="135" spans="1:18" x14ac:dyDescent="0.25">
      <c r="A135" s="115"/>
      <c r="B135" s="157" t="s">
        <v>677</v>
      </c>
      <c r="C135" s="156">
        <v>3</v>
      </c>
      <c r="D135" s="156" t="s">
        <v>805</v>
      </c>
      <c r="E135" s="156">
        <v>5</v>
      </c>
      <c r="F135" s="156">
        <v>500</v>
      </c>
      <c r="G135" s="156">
        <v>0</v>
      </c>
      <c r="H135" s="156"/>
      <c r="I135" s="156">
        <v>10</v>
      </c>
      <c r="J135" s="156">
        <v>10</v>
      </c>
      <c r="K135" s="157">
        <f t="shared" si="18"/>
        <v>0</v>
      </c>
      <c r="L135" s="157">
        <f t="shared" si="19"/>
        <v>0</v>
      </c>
      <c r="M135" s="157">
        <f t="shared" si="20"/>
        <v>5000</v>
      </c>
      <c r="N135" s="157">
        <f t="shared" si="21"/>
        <v>5000</v>
      </c>
      <c r="O135" s="157">
        <f t="shared" si="22"/>
        <v>0</v>
      </c>
      <c r="P135" s="157">
        <f t="shared" si="23"/>
        <v>0</v>
      </c>
      <c r="Q135" s="157">
        <f t="shared" si="24"/>
        <v>1000</v>
      </c>
      <c r="R135" s="157">
        <f t="shared" si="25"/>
        <v>1000</v>
      </c>
    </row>
    <row r="136" spans="1:18" x14ac:dyDescent="0.25">
      <c r="A136" s="115"/>
      <c r="B136" s="157" t="s">
        <v>890</v>
      </c>
      <c r="C136" s="156">
        <v>4</v>
      </c>
      <c r="D136" s="156" t="s">
        <v>805</v>
      </c>
      <c r="E136" s="156">
        <v>10</v>
      </c>
      <c r="F136" s="156">
        <v>300000</v>
      </c>
      <c r="G136" s="156">
        <v>0</v>
      </c>
      <c r="H136" s="156"/>
      <c r="I136" s="156">
        <v>0</v>
      </c>
      <c r="J136" s="158">
        <v>0</v>
      </c>
      <c r="K136" s="157">
        <f t="shared" si="18"/>
        <v>0</v>
      </c>
      <c r="L136" s="157">
        <f t="shared" si="19"/>
        <v>0</v>
      </c>
      <c r="M136" s="157">
        <f t="shared" si="20"/>
        <v>0</v>
      </c>
      <c r="N136" s="157">
        <f t="shared" si="21"/>
        <v>0</v>
      </c>
      <c r="O136" s="157">
        <f t="shared" si="22"/>
        <v>0</v>
      </c>
      <c r="P136" s="157">
        <f t="shared" si="23"/>
        <v>0</v>
      </c>
      <c r="Q136" s="157">
        <f t="shared" si="24"/>
        <v>0</v>
      </c>
      <c r="R136" s="157">
        <f t="shared" si="25"/>
        <v>0</v>
      </c>
    </row>
    <row r="137" spans="1:18" x14ac:dyDescent="0.25">
      <c r="A137" s="115"/>
      <c r="B137" s="157" t="s">
        <v>891</v>
      </c>
      <c r="C137" s="156">
        <v>14</v>
      </c>
      <c r="D137" s="156" t="s">
        <v>805</v>
      </c>
      <c r="E137" s="156">
        <v>7</v>
      </c>
      <c r="F137" s="156">
        <v>4000</v>
      </c>
      <c r="G137" s="156">
        <v>1</v>
      </c>
      <c r="H137" s="156"/>
      <c r="I137" s="156">
        <v>1</v>
      </c>
      <c r="J137" s="156">
        <v>1</v>
      </c>
      <c r="K137" s="157">
        <f t="shared" si="18"/>
        <v>4000</v>
      </c>
      <c r="L137" s="157">
        <f t="shared" si="19"/>
        <v>0</v>
      </c>
      <c r="M137" s="157">
        <f t="shared" si="20"/>
        <v>4000</v>
      </c>
      <c r="N137" s="157">
        <f t="shared" si="21"/>
        <v>4000</v>
      </c>
      <c r="O137" s="157">
        <f t="shared" si="22"/>
        <v>571.42857142857144</v>
      </c>
      <c r="P137" s="157">
        <f t="shared" si="23"/>
        <v>0</v>
      </c>
      <c r="Q137" s="157">
        <f t="shared" si="24"/>
        <v>571.42857142857144</v>
      </c>
      <c r="R137" s="157">
        <f t="shared" si="25"/>
        <v>571.42857142857144</v>
      </c>
    </row>
    <row r="138" spans="1:18" x14ac:dyDescent="0.25">
      <c r="A138" s="115"/>
      <c r="B138" s="157" t="s">
        <v>892</v>
      </c>
      <c r="C138" s="156">
        <v>14</v>
      </c>
      <c r="D138" s="156" t="s">
        <v>805</v>
      </c>
      <c r="E138" s="156">
        <v>7</v>
      </c>
      <c r="F138" s="156">
        <v>20000</v>
      </c>
      <c r="G138" s="156">
        <v>1</v>
      </c>
      <c r="H138" s="156"/>
      <c r="I138" s="156">
        <v>0</v>
      </c>
      <c r="J138" s="156">
        <v>0</v>
      </c>
      <c r="K138" s="157">
        <f t="shared" si="18"/>
        <v>20000</v>
      </c>
      <c r="L138" s="157">
        <f t="shared" si="19"/>
        <v>0</v>
      </c>
      <c r="M138" s="157">
        <f t="shared" si="20"/>
        <v>0</v>
      </c>
      <c r="N138" s="157">
        <f t="shared" si="21"/>
        <v>0</v>
      </c>
      <c r="O138" s="157">
        <f t="shared" si="22"/>
        <v>2857.1428571428573</v>
      </c>
      <c r="P138" s="157">
        <f t="shared" si="23"/>
        <v>0</v>
      </c>
      <c r="Q138" s="157">
        <f t="shared" si="24"/>
        <v>0</v>
      </c>
      <c r="R138" s="157">
        <f t="shared" si="25"/>
        <v>0</v>
      </c>
    </row>
    <row r="139" spans="1:18" x14ac:dyDescent="0.25">
      <c r="A139" s="115"/>
      <c r="B139" s="157" t="s">
        <v>893</v>
      </c>
      <c r="C139" s="156">
        <v>6</v>
      </c>
      <c r="D139" s="156" t="s">
        <v>805</v>
      </c>
      <c r="E139" s="156">
        <v>5</v>
      </c>
      <c r="F139" s="156">
        <v>500</v>
      </c>
      <c r="G139" s="156">
        <v>0</v>
      </c>
      <c r="H139" s="156"/>
      <c r="I139" s="156">
        <v>2</v>
      </c>
      <c r="J139" s="156">
        <v>2</v>
      </c>
      <c r="K139" s="157">
        <f t="shared" si="18"/>
        <v>0</v>
      </c>
      <c r="L139" s="157">
        <f t="shared" si="19"/>
        <v>0</v>
      </c>
      <c r="M139" s="157">
        <f t="shared" si="20"/>
        <v>1000</v>
      </c>
      <c r="N139" s="157">
        <f t="shared" si="21"/>
        <v>1000</v>
      </c>
      <c r="O139" s="157">
        <f t="shared" si="22"/>
        <v>0</v>
      </c>
      <c r="P139" s="157">
        <f t="shared" si="23"/>
        <v>0</v>
      </c>
      <c r="Q139" s="157">
        <f t="shared" si="24"/>
        <v>200</v>
      </c>
      <c r="R139" s="157">
        <f t="shared" si="25"/>
        <v>200</v>
      </c>
    </row>
    <row r="140" spans="1:18" x14ac:dyDescent="0.25">
      <c r="A140" s="115"/>
      <c r="B140" s="157" t="s">
        <v>894</v>
      </c>
      <c r="C140" s="156">
        <v>6</v>
      </c>
      <c r="D140" s="156" t="s">
        <v>805</v>
      </c>
      <c r="E140" s="156">
        <v>8</v>
      </c>
      <c r="F140" s="156">
        <v>95000</v>
      </c>
      <c r="G140" s="156">
        <v>0</v>
      </c>
      <c r="H140" s="156"/>
      <c r="I140" s="156">
        <v>0</v>
      </c>
      <c r="J140" s="156">
        <v>2</v>
      </c>
      <c r="K140" s="157">
        <f t="shared" si="18"/>
        <v>0</v>
      </c>
      <c r="L140" s="157">
        <f t="shared" si="19"/>
        <v>0</v>
      </c>
      <c r="M140" s="157">
        <f t="shared" si="20"/>
        <v>0</v>
      </c>
      <c r="N140" s="157">
        <f t="shared" si="21"/>
        <v>190000</v>
      </c>
      <c r="O140" s="157">
        <f t="shared" si="22"/>
        <v>0</v>
      </c>
      <c r="P140" s="157">
        <f t="shared" si="23"/>
        <v>0</v>
      </c>
      <c r="Q140" s="157">
        <f t="shared" si="24"/>
        <v>0</v>
      </c>
      <c r="R140" s="157">
        <f t="shared" si="25"/>
        <v>23750</v>
      </c>
    </row>
    <row r="141" spans="1:18" x14ac:dyDescent="0.25">
      <c r="A141" s="115"/>
      <c r="B141" s="157" t="s">
        <v>895</v>
      </c>
      <c r="C141" s="156">
        <v>5</v>
      </c>
      <c r="D141" s="156" t="s">
        <v>805</v>
      </c>
      <c r="E141" s="156">
        <v>10</v>
      </c>
      <c r="F141" s="156">
        <v>100000</v>
      </c>
      <c r="G141" s="156">
        <v>0</v>
      </c>
      <c r="H141" s="156"/>
      <c r="I141" s="156">
        <v>2</v>
      </c>
      <c r="J141" s="156">
        <v>7</v>
      </c>
      <c r="K141" s="157">
        <f t="shared" si="18"/>
        <v>0</v>
      </c>
      <c r="L141" s="157">
        <f t="shared" si="19"/>
        <v>0</v>
      </c>
      <c r="M141" s="157">
        <f t="shared" si="20"/>
        <v>200000</v>
      </c>
      <c r="N141" s="157">
        <f t="shared" si="21"/>
        <v>700000</v>
      </c>
      <c r="O141" s="157">
        <f t="shared" si="22"/>
        <v>0</v>
      </c>
      <c r="P141" s="157">
        <f t="shared" si="23"/>
        <v>0</v>
      </c>
      <c r="Q141" s="157">
        <f t="shared" si="24"/>
        <v>20000</v>
      </c>
      <c r="R141" s="157">
        <f t="shared" si="25"/>
        <v>70000</v>
      </c>
    </row>
    <row r="142" spans="1:18" ht="15" customHeight="1" x14ac:dyDescent="0.25">
      <c r="B142" s="157" t="s">
        <v>896</v>
      </c>
      <c r="C142" s="156">
        <v>10</v>
      </c>
      <c r="D142" s="156" t="s">
        <v>803</v>
      </c>
      <c r="E142" s="156"/>
      <c r="F142" s="156">
        <v>100</v>
      </c>
      <c r="G142" s="156">
        <v>4</v>
      </c>
      <c r="H142" s="156"/>
      <c r="I142" s="156">
        <v>4</v>
      </c>
      <c r="J142" s="156">
        <v>4</v>
      </c>
      <c r="K142" s="157">
        <f t="shared" si="18"/>
        <v>400</v>
      </c>
      <c r="L142" s="157">
        <f t="shared" si="19"/>
        <v>0</v>
      </c>
      <c r="M142" s="157">
        <f t="shared" si="20"/>
        <v>400</v>
      </c>
      <c r="N142" s="157">
        <f t="shared" si="21"/>
        <v>400</v>
      </c>
      <c r="O142" s="157">
        <f t="shared" si="22"/>
        <v>0</v>
      </c>
      <c r="P142" s="157">
        <f t="shared" si="23"/>
        <v>0</v>
      </c>
      <c r="Q142" s="157">
        <f t="shared" si="24"/>
        <v>0</v>
      </c>
      <c r="R142" s="157">
        <f t="shared" si="25"/>
        <v>0</v>
      </c>
    </row>
    <row r="143" spans="1:18" ht="15" customHeight="1" x14ac:dyDescent="0.25">
      <c r="B143" s="157" t="s">
        <v>669</v>
      </c>
      <c r="C143" s="156">
        <v>1</v>
      </c>
      <c r="D143" s="156" t="s">
        <v>803</v>
      </c>
      <c r="E143" s="156"/>
      <c r="F143" s="156">
        <v>400</v>
      </c>
      <c r="G143" s="156">
        <v>4</v>
      </c>
      <c r="H143" s="156"/>
      <c r="I143" s="156">
        <v>10</v>
      </c>
      <c r="J143" s="156">
        <v>10</v>
      </c>
      <c r="K143" s="157">
        <f t="shared" si="18"/>
        <v>1600</v>
      </c>
      <c r="L143" s="157">
        <f t="shared" si="19"/>
        <v>0</v>
      </c>
      <c r="M143" s="157">
        <f t="shared" si="20"/>
        <v>4000</v>
      </c>
      <c r="N143" s="157">
        <f t="shared" si="21"/>
        <v>4000</v>
      </c>
      <c r="O143" s="157">
        <f t="shared" si="22"/>
        <v>0</v>
      </c>
      <c r="P143" s="157">
        <f t="shared" si="23"/>
        <v>0</v>
      </c>
      <c r="Q143" s="157">
        <f t="shared" si="24"/>
        <v>0</v>
      </c>
      <c r="R143" s="157">
        <f t="shared" si="25"/>
        <v>0</v>
      </c>
    </row>
    <row r="144" spans="1:18" ht="15" customHeight="1" x14ac:dyDescent="0.25">
      <c r="B144" s="157" t="s">
        <v>685</v>
      </c>
      <c r="C144" s="156">
        <v>10</v>
      </c>
      <c r="D144" s="156" t="s">
        <v>805</v>
      </c>
      <c r="E144" s="156">
        <v>10</v>
      </c>
      <c r="F144" s="156">
        <v>40000</v>
      </c>
      <c r="G144" s="156">
        <v>1</v>
      </c>
      <c r="H144" s="156"/>
      <c r="I144" s="156">
        <v>1</v>
      </c>
      <c r="J144" s="156">
        <v>1</v>
      </c>
      <c r="K144" s="157">
        <f t="shared" si="18"/>
        <v>40000</v>
      </c>
      <c r="L144" s="157">
        <f t="shared" si="19"/>
        <v>0</v>
      </c>
      <c r="M144" s="157">
        <f t="shared" si="20"/>
        <v>40000</v>
      </c>
      <c r="N144" s="157">
        <f t="shared" si="21"/>
        <v>40000</v>
      </c>
      <c r="O144" s="157">
        <f t="shared" si="22"/>
        <v>4000</v>
      </c>
      <c r="P144" s="157">
        <f t="shared" si="23"/>
        <v>0</v>
      </c>
      <c r="Q144" s="157">
        <f t="shared" si="24"/>
        <v>4000</v>
      </c>
      <c r="R144" s="157">
        <f t="shared" si="25"/>
        <v>4000</v>
      </c>
    </row>
    <row r="145" spans="2:18" ht="15" customHeight="1" x14ac:dyDescent="0.25">
      <c r="B145" s="157" t="s">
        <v>897</v>
      </c>
      <c r="C145" s="156">
        <v>5</v>
      </c>
      <c r="D145" s="156" t="s">
        <v>805</v>
      </c>
      <c r="E145" s="156">
        <v>10</v>
      </c>
      <c r="F145" s="156">
        <v>7000</v>
      </c>
      <c r="G145" s="156">
        <v>0</v>
      </c>
      <c r="H145" s="156"/>
      <c r="I145" s="156">
        <v>2</v>
      </c>
      <c r="J145" s="156">
        <v>4</v>
      </c>
      <c r="K145" s="157">
        <f t="shared" si="18"/>
        <v>0</v>
      </c>
      <c r="L145" s="157">
        <f t="shared" si="19"/>
        <v>0</v>
      </c>
      <c r="M145" s="157">
        <f t="shared" si="20"/>
        <v>14000</v>
      </c>
      <c r="N145" s="157">
        <f t="shared" si="21"/>
        <v>28000</v>
      </c>
      <c r="O145" s="157">
        <f t="shared" si="22"/>
        <v>0</v>
      </c>
      <c r="P145" s="157">
        <f t="shared" si="23"/>
        <v>0</v>
      </c>
      <c r="Q145" s="157">
        <f t="shared" si="24"/>
        <v>1400</v>
      </c>
      <c r="R145" s="157">
        <f t="shared" si="25"/>
        <v>2800</v>
      </c>
    </row>
    <row r="146" spans="2:18" ht="15" customHeight="1" x14ac:dyDescent="0.25">
      <c r="B146" s="159" t="s">
        <v>655</v>
      </c>
      <c r="C146" s="160">
        <v>2</v>
      </c>
      <c r="D146" s="160" t="s">
        <v>805</v>
      </c>
      <c r="E146" s="160">
        <v>5</v>
      </c>
      <c r="F146" s="160">
        <v>600</v>
      </c>
      <c r="G146" s="160">
        <v>2</v>
      </c>
      <c r="H146" s="160"/>
      <c r="I146" s="160">
        <v>3</v>
      </c>
      <c r="J146" s="160">
        <v>3</v>
      </c>
      <c r="K146" s="157">
        <f t="shared" si="18"/>
        <v>1200</v>
      </c>
      <c r="L146" s="157">
        <f t="shared" si="19"/>
        <v>0</v>
      </c>
      <c r="M146" s="157">
        <f t="shared" si="20"/>
        <v>1800</v>
      </c>
      <c r="N146" s="157">
        <f t="shared" si="21"/>
        <v>1800</v>
      </c>
      <c r="O146" s="157">
        <f t="shared" si="22"/>
        <v>240</v>
      </c>
      <c r="P146" s="157">
        <f t="shared" si="23"/>
        <v>0</v>
      </c>
      <c r="Q146" s="157">
        <f t="shared" si="24"/>
        <v>360</v>
      </c>
      <c r="R146" s="157">
        <f t="shared" si="25"/>
        <v>360</v>
      </c>
    </row>
    <row r="147" spans="2:18" ht="15" customHeight="1" x14ac:dyDescent="0.25">
      <c r="B147" s="157" t="s">
        <v>898</v>
      </c>
      <c r="C147" s="156">
        <v>5</v>
      </c>
      <c r="D147" s="156" t="s">
        <v>805</v>
      </c>
      <c r="E147" s="156">
        <v>5</v>
      </c>
      <c r="F147" s="156">
        <v>1000</v>
      </c>
      <c r="G147" s="156">
        <v>1</v>
      </c>
      <c r="H147" s="156"/>
      <c r="I147" s="156">
        <v>1</v>
      </c>
      <c r="J147" s="156">
        <v>1</v>
      </c>
      <c r="K147" s="157">
        <f t="shared" si="18"/>
        <v>1000</v>
      </c>
      <c r="L147" s="157">
        <f t="shared" si="19"/>
        <v>0</v>
      </c>
      <c r="M147" s="157">
        <f t="shared" si="20"/>
        <v>1000</v>
      </c>
      <c r="N147" s="157">
        <f t="shared" si="21"/>
        <v>1000</v>
      </c>
      <c r="O147" s="157">
        <f t="shared" si="22"/>
        <v>200</v>
      </c>
      <c r="P147" s="157">
        <f t="shared" si="23"/>
        <v>0</v>
      </c>
      <c r="Q147" s="157">
        <f t="shared" si="24"/>
        <v>200</v>
      </c>
      <c r="R147" s="157">
        <f t="shared" si="25"/>
        <v>200</v>
      </c>
    </row>
    <row r="148" spans="2:18" ht="15" customHeight="1" x14ac:dyDescent="0.25">
      <c r="B148" s="157" t="s">
        <v>899</v>
      </c>
      <c r="C148" s="156">
        <v>10</v>
      </c>
      <c r="D148" s="156" t="s">
        <v>805</v>
      </c>
      <c r="E148" s="156">
        <v>5</v>
      </c>
      <c r="F148" s="156">
        <v>1000</v>
      </c>
      <c r="G148" s="156">
        <v>1</v>
      </c>
      <c r="H148" s="156"/>
      <c r="I148" s="156">
        <v>1</v>
      </c>
      <c r="J148" s="156">
        <v>1</v>
      </c>
      <c r="K148" s="157">
        <f t="shared" si="18"/>
        <v>1000</v>
      </c>
      <c r="L148" s="157">
        <f t="shared" si="19"/>
        <v>0</v>
      </c>
      <c r="M148" s="157">
        <f t="shared" si="20"/>
        <v>1000</v>
      </c>
      <c r="N148" s="157">
        <f t="shared" si="21"/>
        <v>1000</v>
      </c>
      <c r="O148" s="157">
        <f t="shared" si="22"/>
        <v>200</v>
      </c>
      <c r="P148" s="157">
        <f t="shared" si="23"/>
        <v>0</v>
      </c>
      <c r="Q148" s="157">
        <f t="shared" si="24"/>
        <v>200</v>
      </c>
      <c r="R148" s="157">
        <f t="shared" si="25"/>
        <v>200</v>
      </c>
    </row>
    <row r="149" spans="2:18" ht="15" customHeight="1" x14ac:dyDescent="0.25">
      <c r="B149" s="157" t="s">
        <v>900</v>
      </c>
      <c r="C149" s="156">
        <v>7</v>
      </c>
      <c r="D149" s="156" t="s">
        <v>805</v>
      </c>
      <c r="E149" s="156">
        <v>5</v>
      </c>
      <c r="F149" s="156">
        <v>100</v>
      </c>
      <c r="G149" s="156">
        <v>2</v>
      </c>
      <c r="H149" s="156"/>
      <c r="I149" s="156">
        <v>2</v>
      </c>
      <c r="J149" s="156">
        <v>4</v>
      </c>
      <c r="K149" s="157">
        <f t="shared" si="18"/>
        <v>200</v>
      </c>
      <c r="L149" s="157">
        <f t="shared" si="19"/>
        <v>0</v>
      </c>
      <c r="M149" s="157">
        <f t="shared" si="20"/>
        <v>200</v>
      </c>
      <c r="N149" s="157">
        <f t="shared" si="21"/>
        <v>400</v>
      </c>
      <c r="O149" s="157">
        <f t="shared" si="22"/>
        <v>40</v>
      </c>
      <c r="P149" s="157">
        <f t="shared" si="23"/>
        <v>0</v>
      </c>
      <c r="Q149" s="157">
        <f t="shared" si="24"/>
        <v>40</v>
      </c>
      <c r="R149" s="157">
        <f t="shared" si="25"/>
        <v>80</v>
      </c>
    </row>
    <row r="150" spans="2:18" ht="15" customHeight="1" x14ac:dyDescent="0.25">
      <c r="B150" s="159" t="s">
        <v>901</v>
      </c>
      <c r="C150" s="160">
        <v>2</v>
      </c>
      <c r="D150" s="160" t="s">
        <v>805</v>
      </c>
      <c r="E150" s="160">
        <v>5</v>
      </c>
      <c r="F150" s="160">
        <v>100</v>
      </c>
      <c r="G150" s="160">
        <v>4</v>
      </c>
      <c r="H150" s="160"/>
      <c r="I150" s="160">
        <v>13</v>
      </c>
      <c r="J150" s="160">
        <v>14</v>
      </c>
      <c r="K150" s="157">
        <f t="shared" si="18"/>
        <v>400</v>
      </c>
      <c r="L150" s="157">
        <f t="shared" si="19"/>
        <v>0</v>
      </c>
      <c r="M150" s="157">
        <f t="shared" si="20"/>
        <v>1300</v>
      </c>
      <c r="N150" s="157">
        <f t="shared" si="21"/>
        <v>1400</v>
      </c>
      <c r="O150" s="157">
        <f t="shared" si="22"/>
        <v>80</v>
      </c>
      <c r="P150" s="157">
        <f t="shared" si="23"/>
        <v>0</v>
      </c>
      <c r="Q150" s="157">
        <f t="shared" si="24"/>
        <v>260</v>
      </c>
      <c r="R150" s="157">
        <f t="shared" si="25"/>
        <v>280</v>
      </c>
    </row>
    <row r="151" spans="2:18" ht="15" customHeight="1" x14ac:dyDescent="0.25">
      <c r="B151" s="159" t="s">
        <v>664</v>
      </c>
      <c r="C151" s="160">
        <v>2</v>
      </c>
      <c r="D151" s="160" t="s">
        <v>805</v>
      </c>
      <c r="E151" s="160">
        <v>5</v>
      </c>
      <c r="F151" s="160">
        <v>3000</v>
      </c>
      <c r="G151" s="160">
        <v>2</v>
      </c>
      <c r="H151" s="160"/>
      <c r="I151" s="160">
        <v>4</v>
      </c>
      <c r="J151" s="160">
        <v>4</v>
      </c>
      <c r="K151" s="157">
        <f t="shared" si="18"/>
        <v>6000</v>
      </c>
      <c r="L151" s="157">
        <f t="shared" si="19"/>
        <v>0</v>
      </c>
      <c r="M151" s="157">
        <f t="shared" si="20"/>
        <v>12000</v>
      </c>
      <c r="N151" s="157">
        <f t="shared" si="21"/>
        <v>12000</v>
      </c>
      <c r="O151" s="157">
        <f t="shared" si="22"/>
        <v>1200</v>
      </c>
      <c r="P151" s="157">
        <f t="shared" si="23"/>
        <v>0</v>
      </c>
      <c r="Q151" s="157">
        <f t="shared" si="24"/>
        <v>2400</v>
      </c>
      <c r="R151" s="157">
        <f t="shared" si="25"/>
        <v>2400</v>
      </c>
    </row>
    <row r="152" spans="2:18" ht="15" customHeight="1" x14ac:dyDescent="0.25">
      <c r="B152" s="157" t="s">
        <v>902</v>
      </c>
      <c r="C152" s="156">
        <v>5</v>
      </c>
      <c r="D152" s="156" t="s">
        <v>805</v>
      </c>
      <c r="E152" s="156">
        <v>8</v>
      </c>
      <c r="F152" s="156">
        <v>38000</v>
      </c>
      <c r="G152" s="156">
        <v>1</v>
      </c>
      <c r="H152" s="156"/>
      <c r="I152" s="156">
        <v>2</v>
      </c>
      <c r="J152" s="156">
        <v>2</v>
      </c>
      <c r="K152" s="157">
        <f t="shared" si="18"/>
        <v>38000</v>
      </c>
      <c r="L152" s="157">
        <f t="shared" si="19"/>
        <v>0</v>
      </c>
      <c r="M152" s="157">
        <f t="shared" si="20"/>
        <v>76000</v>
      </c>
      <c r="N152" s="157">
        <f t="shared" si="21"/>
        <v>76000</v>
      </c>
      <c r="O152" s="157">
        <f t="shared" si="22"/>
        <v>4750</v>
      </c>
      <c r="P152" s="157">
        <f t="shared" si="23"/>
        <v>0</v>
      </c>
      <c r="Q152" s="157">
        <f t="shared" si="24"/>
        <v>9500</v>
      </c>
      <c r="R152" s="157">
        <f t="shared" si="25"/>
        <v>9500</v>
      </c>
    </row>
    <row r="153" spans="2:18" ht="15" customHeight="1" x14ac:dyDescent="0.25">
      <c r="B153" s="157" t="s">
        <v>903</v>
      </c>
      <c r="C153" s="156">
        <v>5</v>
      </c>
      <c r="D153" s="156" t="s">
        <v>805</v>
      </c>
      <c r="E153" s="156">
        <v>5</v>
      </c>
      <c r="F153" s="156">
        <v>300</v>
      </c>
      <c r="G153" s="156">
        <v>2</v>
      </c>
      <c r="H153" s="156">
        <v>1</v>
      </c>
      <c r="I153" s="156">
        <v>8</v>
      </c>
      <c r="J153" s="156">
        <v>8</v>
      </c>
      <c r="K153" s="157">
        <f t="shared" si="18"/>
        <v>600</v>
      </c>
      <c r="L153" s="157">
        <f t="shared" si="19"/>
        <v>300</v>
      </c>
      <c r="M153" s="157">
        <f t="shared" si="20"/>
        <v>2400</v>
      </c>
      <c r="N153" s="157">
        <f t="shared" si="21"/>
        <v>2400</v>
      </c>
      <c r="O153" s="157">
        <f t="shared" si="22"/>
        <v>120</v>
      </c>
      <c r="P153" s="157">
        <f t="shared" si="23"/>
        <v>60</v>
      </c>
      <c r="Q153" s="157">
        <f t="shared" si="24"/>
        <v>480</v>
      </c>
      <c r="R153" s="157">
        <f t="shared" si="25"/>
        <v>480</v>
      </c>
    </row>
    <row r="154" spans="2:18" ht="15" customHeight="1" x14ac:dyDescent="0.25">
      <c r="B154" s="157" t="s">
        <v>904</v>
      </c>
      <c r="C154" s="156">
        <v>5</v>
      </c>
      <c r="D154" s="156" t="s">
        <v>805</v>
      </c>
      <c r="E154" s="156">
        <v>5</v>
      </c>
      <c r="F154" s="156">
        <v>300</v>
      </c>
      <c r="G154" s="156">
        <v>2</v>
      </c>
      <c r="H154" s="156">
        <v>1</v>
      </c>
      <c r="I154" s="156">
        <v>5</v>
      </c>
      <c r="J154" s="156">
        <v>5</v>
      </c>
      <c r="K154" s="157">
        <f t="shared" si="18"/>
        <v>600</v>
      </c>
      <c r="L154" s="157">
        <f t="shared" si="19"/>
        <v>300</v>
      </c>
      <c r="M154" s="157">
        <f t="shared" si="20"/>
        <v>1500</v>
      </c>
      <c r="N154" s="157">
        <f t="shared" si="21"/>
        <v>1500</v>
      </c>
      <c r="O154" s="157">
        <f t="shared" si="22"/>
        <v>120</v>
      </c>
      <c r="P154" s="157">
        <f t="shared" si="23"/>
        <v>60</v>
      </c>
      <c r="Q154" s="157">
        <f t="shared" si="24"/>
        <v>300</v>
      </c>
      <c r="R154" s="157">
        <f t="shared" si="25"/>
        <v>300</v>
      </c>
    </row>
    <row r="155" spans="2:18" ht="15" customHeight="1" x14ac:dyDescent="0.25">
      <c r="B155" s="157" t="s">
        <v>905</v>
      </c>
      <c r="C155" s="156">
        <v>5</v>
      </c>
      <c r="D155" s="156" t="s">
        <v>805</v>
      </c>
      <c r="E155" s="156">
        <v>5</v>
      </c>
      <c r="F155" s="156">
        <v>300</v>
      </c>
      <c r="G155" s="156">
        <v>2</v>
      </c>
      <c r="H155" s="156">
        <v>1</v>
      </c>
      <c r="I155" s="156">
        <v>5</v>
      </c>
      <c r="J155" s="156">
        <v>5</v>
      </c>
      <c r="K155" s="157">
        <f t="shared" si="18"/>
        <v>600</v>
      </c>
      <c r="L155" s="157">
        <f t="shared" si="19"/>
        <v>300</v>
      </c>
      <c r="M155" s="157">
        <f t="shared" si="20"/>
        <v>1500</v>
      </c>
      <c r="N155" s="157">
        <f t="shared" si="21"/>
        <v>1500</v>
      </c>
      <c r="O155" s="157">
        <f t="shared" si="22"/>
        <v>120</v>
      </c>
      <c r="P155" s="157">
        <f t="shared" si="23"/>
        <v>60</v>
      </c>
      <c r="Q155" s="157">
        <f t="shared" si="24"/>
        <v>300</v>
      </c>
      <c r="R155" s="157">
        <f t="shared" si="25"/>
        <v>300</v>
      </c>
    </row>
    <row r="156" spans="2:18" ht="15" customHeight="1" x14ac:dyDescent="0.25">
      <c r="B156" s="157" t="s">
        <v>906</v>
      </c>
      <c r="C156" s="156">
        <v>11</v>
      </c>
      <c r="D156" s="156" t="s">
        <v>805</v>
      </c>
      <c r="E156" s="156">
        <v>7</v>
      </c>
      <c r="F156" s="156">
        <v>500</v>
      </c>
      <c r="G156" s="156">
        <v>0</v>
      </c>
      <c r="H156" s="156"/>
      <c r="I156" s="156">
        <v>1</v>
      </c>
      <c r="J156" s="156">
        <v>1</v>
      </c>
      <c r="K156" s="157">
        <f t="shared" si="18"/>
        <v>0</v>
      </c>
      <c r="L156" s="157">
        <f t="shared" si="19"/>
        <v>0</v>
      </c>
      <c r="M156" s="157">
        <f t="shared" si="20"/>
        <v>500</v>
      </c>
      <c r="N156" s="157">
        <f t="shared" si="21"/>
        <v>500</v>
      </c>
      <c r="O156" s="157">
        <f t="shared" si="22"/>
        <v>0</v>
      </c>
      <c r="P156" s="157">
        <f t="shared" si="23"/>
        <v>0</v>
      </c>
      <c r="Q156" s="157">
        <f t="shared" si="24"/>
        <v>71.428571428571431</v>
      </c>
      <c r="R156" s="157">
        <f t="shared" si="25"/>
        <v>71.428571428571431</v>
      </c>
    </row>
    <row r="157" spans="2:18" ht="15" customHeight="1" x14ac:dyDescent="0.25">
      <c r="B157" s="157" t="s">
        <v>907</v>
      </c>
      <c r="C157" s="156">
        <v>8</v>
      </c>
      <c r="D157" s="156" t="s">
        <v>803</v>
      </c>
      <c r="E157" s="156"/>
      <c r="F157" s="156">
        <v>300</v>
      </c>
      <c r="G157" s="156">
        <v>0</v>
      </c>
      <c r="H157" s="156"/>
      <c r="I157" s="156">
        <v>0</v>
      </c>
      <c r="J157" s="156">
        <v>1</v>
      </c>
      <c r="K157" s="157">
        <f t="shared" si="18"/>
        <v>0</v>
      </c>
      <c r="L157" s="157">
        <f t="shared" si="19"/>
        <v>0</v>
      </c>
      <c r="M157" s="157">
        <f t="shared" si="20"/>
        <v>0</v>
      </c>
      <c r="N157" s="157">
        <f t="shared" si="21"/>
        <v>300</v>
      </c>
      <c r="O157" s="157">
        <f t="shared" si="22"/>
        <v>0</v>
      </c>
      <c r="P157" s="157">
        <f t="shared" si="23"/>
        <v>0</v>
      </c>
      <c r="Q157" s="157">
        <f t="shared" si="24"/>
        <v>0</v>
      </c>
      <c r="R157" s="157">
        <f t="shared" si="25"/>
        <v>0</v>
      </c>
    </row>
    <row r="158" spans="2:18" ht="15" customHeight="1" x14ac:dyDescent="0.25">
      <c r="B158" s="157" t="s">
        <v>908</v>
      </c>
      <c r="C158" s="156">
        <v>5</v>
      </c>
      <c r="D158" s="156" t="s">
        <v>805</v>
      </c>
      <c r="E158" s="156">
        <v>7</v>
      </c>
      <c r="F158" s="156">
        <v>8000</v>
      </c>
      <c r="G158" s="156">
        <v>2</v>
      </c>
      <c r="H158" s="156">
        <v>1</v>
      </c>
      <c r="I158" s="156">
        <v>4</v>
      </c>
      <c r="J158" s="156">
        <v>4</v>
      </c>
      <c r="K158" s="157">
        <f t="shared" si="18"/>
        <v>16000</v>
      </c>
      <c r="L158" s="157">
        <f t="shared" si="19"/>
        <v>8000</v>
      </c>
      <c r="M158" s="157">
        <f t="shared" si="20"/>
        <v>32000</v>
      </c>
      <c r="N158" s="157">
        <f t="shared" si="21"/>
        <v>32000</v>
      </c>
      <c r="O158" s="157">
        <f t="shared" si="22"/>
        <v>2285.7142857142858</v>
      </c>
      <c r="P158" s="157">
        <f t="shared" si="23"/>
        <v>1142.8571428571429</v>
      </c>
      <c r="Q158" s="157">
        <f t="shared" si="24"/>
        <v>4571.4285714285716</v>
      </c>
      <c r="R158" s="157">
        <f t="shared" si="25"/>
        <v>4571.4285714285716</v>
      </c>
    </row>
    <row r="159" spans="2:18" ht="15" customHeight="1" x14ac:dyDescent="0.25">
      <c r="B159" s="157" t="s">
        <v>909</v>
      </c>
      <c r="C159" s="156">
        <v>4</v>
      </c>
      <c r="D159" s="156" t="s">
        <v>805</v>
      </c>
      <c r="E159" s="156">
        <v>9</v>
      </c>
      <c r="F159" s="156">
        <v>600000</v>
      </c>
      <c r="G159" s="156">
        <v>0</v>
      </c>
      <c r="H159" s="156"/>
      <c r="I159" s="156">
        <v>1</v>
      </c>
      <c r="J159" s="156">
        <v>1</v>
      </c>
      <c r="K159" s="157">
        <f t="shared" si="18"/>
        <v>0</v>
      </c>
      <c r="L159" s="157">
        <f t="shared" si="19"/>
        <v>0</v>
      </c>
      <c r="M159" s="157">
        <f t="shared" si="20"/>
        <v>600000</v>
      </c>
      <c r="N159" s="157">
        <f t="shared" si="21"/>
        <v>600000</v>
      </c>
      <c r="O159" s="157">
        <f t="shared" si="22"/>
        <v>0</v>
      </c>
      <c r="P159" s="157">
        <f t="shared" si="23"/>
        <v>0</v>
      </c>
      <c r="Q159" s="157">
        <f t="shared" si="24"/>
        <v>66666.666666666672</v>
      </c>
      <c r="R159" s="157">
        <f t="shared" si="25"/>
        <v>66666.666666666672</v>
      </c>
    </row>
    <row r="160" spans="2:18" ht="15" customHeight="1" x14ac:dyDescent="0.25">
      <c r="B160" s="157" t="s">
        <v>705</v>
      </c>
      <c r="C160" s="156">
        <v>13</v>
      </c>
      <c r="D160" s="156" t="s">
        <v>805</v>
      </c>
      <c r="E160" s="156">
        <v>9</v>
      </c>
      <c r="F160" s="156">
        <v>6000</v>
      </c>
      <c r="G160" s="156">
        <v>6</v>
      </c>
      <c r="H160" s="156"/>
      <c r="I160" s="156">
        <v>8</v>
      </c>
      <c r="J160" s="156">
        <v>8</v>
      </c>
      <c r="K160" s="157">
        <f t="shared" si="18"/>
        <v>36000</v>
      </c>
      <c r="L160" s="157">
        <f t="shared" si="19"/>
        <v>0</v>
      </c>
      <c r="M160" s="157">
        <f t="shared" si="20"/>
        <v>48000</v>
      </c>
      <c r="N160" s="157">
        <f t="shared" si="21"/>
        <v>48000</v>
      </c>
      <c r="O160" s="157">
        <f t="shared" si="22"/>
        <v>4000</v>
      </c>
      <c r="P160" s="157">
        <f t="shared" si="23"/>
        <v>0</v>
      </c>
      <c r="Q160" s="157">
        <f t="shared" si="24"/>
        <v>5333.333333333333</v>
      </c>
      <c r="R160" s="157">
        <f t="shared" si="25"/>
        <v>5333.333333333333</v>
      </c>
    </row>
    <row r="161" spans="2:18" ht="15" customHeight="1" x14ac:dyDescent="0.25">
      <c r="B161" s="159" t="s">
        <v>910</v>
      </c>
      <c r="C161" s="160">
        <v>2</v>
      </c>
      <c r="D161" s="160" t="s">
        <v>805</v>
      </c>
      <c r="E161" s="160">
        <v>9</v>
      </c>
      <c r="F161" s="160">
        <v>100000</v>
      </c>
      <c r="G161" s="160">
        <v>1</v>
      </c>
      <c r="H161" s="209">
        <v>1</v>
      </c>
      <c r="I161" s="160">
        <v>3</v>
      </c>
      <c r="J161" s="160">
        <v>3</v>
      </c>
      <c r="K161" s="157">
        <f t="shared" si="18"/>
        <v>100000</v>
      </c>
      <c r="L161" s="157">
        <f t="shared" si="19"/>
        <v>100000</v>
      </c>
      <c r="M161" s="157">
        <f t="shared" si="20"/>
        <v>300000</v>
      </c>
      <c r="N161" s="157">
        <f t="shared" si="21"/>
        <v>300000</v>
      </c>
      <c r="O161" s="157">
        <f t="shared" si="22"/>
        <v>11111.111111111111</v>
      </c>
      <c r="P161" s="157">
        <f t="shared" si="23"/>
        <v>11111.111111111111</v>
      </c>
      <c r="Q161" s="157">
        <f t="shared" si="24"/>
        <v>33333.333333333336</v>
      </c>
      <c r="R161" s="157">
        <f t="shared" si="25"/>
        <v>33333.333333333336</v>
      </c>
    </row>
    <row r="162" spans="2:18" ht="15" customHeight="1" x14ac:dyDescent="0.25">
      <c r="B162" s="159" t="s">
        <v>650</v>
      </c>
      <c r="C162" s="160">
        <v>2</v>
      </c>
      <c r="D162" s="160" t="s">
        <v>805</v>
      </c>
      <c r="E162" s="160">
        <v>5</v>
      </c>
      <c r="F162" s="160">
        <v>550</v>
      </c>
      <c r="G162" s="160">
        <v>2</v>
      </c>
      <c r="H162" s="160">
        <v>1</v>
      </c>
      <c r="I162" s="160">
        <v>7</v>
      </c>
      <c r="J162" s="160">
        <v>7</v>
      </c>
      <c r="K162" s="157">
        <f t="shared" si="18"/>
        <v>1100</v>
      </c>
      <c r="L162" s="157">
        <f t="shared" si="19"/>
        <v>550</v>
      </c>
      <c r="M162" s="157">
        <f t="shared" si="20"/>
        <v>3850</v>
      </c>
      <c r="N162" s="157">
        <f t="shared" si="21"/>
        <v>3850</v>
      </c>
      <c r="O162" s="157">
        <f t="shared" si="22"/>
        <v>220</v>
      </c>
      <c r="P162" s="157">
        <f t="shared" si="23"/>
        <v>110</v>
      </c>
      <c r="Q162" s="157">
        <f t="shared" si="24"/>
        <v>770</v>
      </c>
      <c r="R162" s="157">
        <f t="shared" si="25"/>
        <v>770</v>
      </c>
    </row>
    <row r="163" spans="2:18" ht="15" customHeight="1" x14ac:dyDescent="0.25">
      <c r="B163" s="157" t="s">
        <v>684</v>
      </c>
      <c r="C163" s="156">
        <v>10</v>
      </c>
      <c r="D163" s="156" t="s">
        <v>803</v>
      </c>
      <c r="E163" s="156"/>
      <c r="F163" s="156">
        <v>500</v>
      </c>
      <c r="G163" s="156">
        <v>1</v>
      </c>
      <c r="H163" s="156"/>
      <c r="I163" s="156">
        <v>2</v>
      </c>
      <c r="J163" s="156">
        <v>2</v>
      </c>
      <c r="K163" s="157">
        <f t="shared" si="18"/>
        <v>500</v>
      </c>
      <c r="L163" s="157">
        <f t="shared" si="19"/>
        <v>0</v>
      </c>
      <c r="M163" s="157">
        <f t="shared" si="20"/>
        <v>1000</v>
      </c>
      <c r="N163" s="157">
        <f t="shared" si="21"/>
        <v>1000</v>
      </c>
      <c r="O163" s="157">
        <f t="shared" si="22"/>
        <v>0</v>
      </c>
      <c r="P163" s="157">
        <f t="shared" si="23"/>
        <v>0</v>
      </c>
      <c r="Q163" s="157">
        <f t="shared" si="24"/>
        <v>0</v>
      </c>
      <c r="R163" s="157">
        <f t="shared" si="25"/>
        <v>0</v>
      </c>
    </row>
    <row r="164" spans="2:18" ht="15" customHeight="1" x14ac:dyDescent="0.25">
      <c r="B164" s="159" t="s">
        <v>667</v>
      </c>
      <c r="C164" s="160">
        <v>2</v>
      </c>
      <c r="D164" s="160" t="s">
        <v>805</v>
      </c>
      <c r="E164" s="160">
        <v>9</v>
      </c>
      <c r="F164" s="160">
        <v>10000</v>
      </c>
      <c r="G164" s="160">
        <v>1</v>
      </c>
      <c r="H164" s="160"/>
      <c r="I164" s="160">
        <v>2</v>
      </c>
      <c r="J164" s="160">
        <v>2</v>
      </c>
      <c r="K164" s="157">
        <f t="shared" si="18"/>
        <v>10000</v>
      </c>
      <c r="L164" s="157">
        <f t="shared" si="19"/>
        <v>0</v>
      </c>
      <c r="M164" s="157">
        <f t="shared" si="20"/>
        <v>20000</v>
      </c>
      <c r="N164" s="157">
        <f t="shared" si="21"/>
        <v>20000</v>
      </c>
      <c r="O164" s="157">
        <f t="shared" si="22"/>
        <v>1111.1111111111111</v>
      </c>
      <c r="P164" s="157">
        <f t="shared" si="23"/>
        <v>0</v>
      </c>
      <c r="Q164" s="157">
        <f t="shared" si="24"/>
        <v>2222.2222222222222</v>
      </c>
      <c r="R164" s="157">
        <f t="shared" si="25"/>
        <v>2222.2222222222222</v>
      </c>
    </row>
    <row r="165" spans="2:18" ht="15" customHeight="1" x14ac:dyDescent="0.25">
      <c r="B165" s="161" t="s">
        <v>911</v>
      </c>
      <c r="C165" s="160">
        <v>2</v>
      </c>
      <c r="D165" s="160" t="s">
        <v>805</v>
      </c>
      <c r="E165" s="160">
        <v>7</v>
      </c>
      <c r="F165" s="160">
        <v>5000</v>
      </c>
      <c r="G165" s="160">
        <v>2</v>
      </c>
      <c r="H165" s="160"/>
      <c r="I165" s="160">
        <v>2</v>
      </c>
      <c r="J165" s="160">
        <v>2</v>
      </c>
      <c r="K165" s="157">
        <f t="shared" si="18"/>
        <v>10000</v>
      </c>
      <c r="L165" s="157">
        <f t="shared" si="19"/>
        <v>0</v>
      </c>
      <c r="M165" s="157">
        <f t="shared" si="20"/>
        <v>10000</v>
      </c>
      <c r="N165" s="157">
        <f t="shared" si="21"/>
        <v>10000</v>
      </c>
      <c r="O165" s="157">
        <f t="shared" si="22"/>
        <v>1428.5714285714287</v>
      </c>
      <c r="P165" s="157">
        <f t="shared" si="23"/>
        <v>0</v>
      </c>
      <c r="Q165" s="157">
        <f t="shared" si="24"/>
        <v>1428.5714285714287</v>
      </c>
      <c r="R165" s="157">
        <f t="shared" si="25"/>
        <v>1428.5714285714287</v>
      </c>
    </row>
    <row r="166" spans="2:18" ht="15" customHeight="1" x14ac:dyDescent="0.25">
      <c r="B166" s="157" t="s">
        <v>912</v>
      </c>
      <c r="C166" s="156">
        <v>10</v>
      </c>
      <c r="D166" s="156" t="s">
        <v>805</v>
      </c>
      <c r="E166" s="156">
        <v>5</v>
      </c>
      <c r="F166" s="156">
        <v>500</v>
      </c>
      <c r="G166" s="156">
        <v>1</v>
      </c>
      <c r="H166" s="156"/>
      <c r="I166" s="156">
        <v>1</v>
      </c>
      <c r="J166" s="156">
        <v>1</v>
      </c>
      <c r="K166" s="157">
        <f t="shared" si="18"/>
        <v>500</v>
      </c>
      <c r="L166" s="157">
        <f t="shared" si="19"/>
        <v>0</v>
      </c>
      <c r="M166" s="157">
        <f t="shared" si="20"/>
        <v>500</v>
      </c>
      <c r="N166" s="157">
        <f t="shared" si="21"/>
        <v>500</v>
      </c>
      <c r="O166" s="157">
        <f t="shared" si="22"/>
        <v>100</v>
      </c>
      <c r="P166" s="157">
        <f t="shared" si="23"/>
        <v>0</v>
      </c>
      <c r="Q166" s="157">
        <f t="shared" si="24"/>
        <v>100</v>
      </c>
      <c r="R166" s="157">
        <f t="shared" si="25"/>
        <v>100</v>
      </c>
    </row>
    <row r="167" spans="2:18" ht="15" customHeight="1" x14ac:dyDescent="0.25">
      <c r="B167" s="159" t="s">
        <v>657</v>
      </c>
      <c r="C167" s="160">
        <v>2</v>
      </c>
      <c r="D167" s="160" t="s">
        <v>803</v>
      </c>
      <c r="E167" s="160"/>
      <c r="F167" s="160">
        <v>300</v>
      </c>
      <c r="G167" s="160">
        <v>2</v>
      </c>
      <c r="H167" s="160"/>
      <c r="I167" s="160">
        <v>3</v>
      </c>
      <c r="J167" s="160">
        <v>3</v>
      </c>
      <c r="K167" s="157">
        <f t="shared" si="18"/>
        <v>600</v>
      </c>
      <c r="L167" s="157">
        <f t="shared" si="19"/>
        <v>0</v>
      </c>
      <c r="M167" s="157">
        <f t="shared" si="20"/>
        <v>900</v>
      </c>
      <c r="N167" s="157">
        <f t="shared" si="21"/>
        <v>900</v>
      </c>
      <c r="O167" s="157">
        <f t="shared" si="22"/>
        <v>0</v>
      </c>
      <c r="P167" s="157">
        <f t="shared" si="23"/>
        <v>0</v>
      </c>
      <c r="Q167" s="157">
        <f t="shared" si="24"/>
        <v>0</v>
      </c>
      <c r="R167" s="157">
        <f t="shared" si="25"/>
        <v>0</v>
      </c>
    </row>
    <row r="168" spans="2:18" ht="15" customHeight="1" x14ac:dyDescent="0.25">
      <c r="B168" s="157" t="s">
        <v>913</v>
      </c>
      <c r="C168" s="156">
        <v>10</v>
      </c>
      <c r="D168" s="156" t="s">
        <v>803</v>
      </c>
      <c r="E168" s="156"/>
      <c r="F168" s="156">
        <v>500</v>
      </c>
      <c r="G168" s="156">
        <v>2</v>
      </c>
      <c r="H168" s="156"/>
      <c r="I168" s="156">
        <v>4</v>
      </c>
      <c r="J168" s="156">
        <v>4</v>
      </c>
      <c r="K168" s="157">
        <f t="shared" si="18"/>
        <v>1000</v>
      </c>
      <c r="L168" s="157">
        <f t="shared" si="19"/>
        <v>0</v>
      </c>
      <c r="M168" s="157">
        <f t="shared" si="20"/>
        <v>2000</v>
      </c>
      <c r="N168" s="157">
        <f t="shared" si="21"/>
        <v>2000</v>
      </c>
      <c r="O168" s="157">
        <f t="shared" si="22"/>
        <v>0</v>
      </c>
      <c r="P168" s="157">
        <f t="shared" si="23"/>
        <v>0</v>
      </c>
      <c r="Q168" s="157">
        <f t="shared" si="24"/>
        <v>0</v>
      </c>
      <c r="R168" s="157">
        <f t="shared" si="25"/>
        <v>0</v>
      </c>
    </row>
    <row r="169" spans="2:18" ht="15" customHeight="1" x14ac:dyDescent="0.25">
      <c r="B169" s="157" t="s">
        <v>914</v>
      </c>
      <c r="C169" s="156">
        <v>10</v>
      </c>
      <c r="D169" s="156" t="s">
        <v>803</v>
      </c>
      <c r="E169" s="156"/>
      <c r="F169" s="156">
        <v>50</v>
      </c>
      <c r="G169" s="156">
        <v>10</v>
      </c>
      <c r="H169" s="156"/>
      <c r="I169" s="156">
        <v>20</v>
      </c>
      <c r="J169" s="156">
        <v>20</v>
      </c>
      <c r="K169" s="157">
        <f t="shared" si="18"/>
        <v>500</v>
      </c>
      <c r="L169" s="157">
        <f t="shared" si="19"/>
        <v>0</v>
      </c>
      <c r="M169" s="157">
        <f t="shared" si="20"/>
        <v>1000</v>
      </c>
      <c r="N169" s="157">
        <f t="shared" si="21"/>
        <v>1000</v>
      </c>
      <c r="O169" s="157">
        <f t="shared" si="22"/>
        <v>0</v>
      </c>
      <c r="P169" s="157">
        <f t="shared" si="23"/>
        <v>0</v>
      </c>
      <c r="Q169" s="157">
        <f t="shared" si="24"/>
        <v>0</v>
      </c>
      <c r="R169" s="157">
        <f t="shared" si="25"/>
        <v>0</v>
      </c>
    </row>
    <row r="170" spans="2:18" ht="15" customHeight="1" x14ac:dyDescent="0.25">
      <c r="B170" s="159" t="s">
        <v>915</v>
      </c>
      <c r="C170" s="160">
        <v>2</v>
      </c>
      <c r="D170" s="160" t="s">
        <v>805</v>
      </c>
      <c r="E170" s="160">
        <v>3</v>
      </c>
      <c r="F170" s="160">
        <v>1000</v>
      </c>
      <c r="G170" s="156">
        <v>2</v>
      </c>
      <c r="H170" s="156"/>
      <c r="I170" s="156">
        <v>2</v>
      </c>
      <c r="J170" s="156">
        <v>2</v>
      </c>
      <c r="K170" s="157">
        <f t="shared" si="18"/>
        <v>2000</v>
      </c>
      <c r="L170" s="157">
        <f t="shared" si="19"/>
        <v>0</v>
      </c>
      <c r="M170" s="157">
        <f t="shared" si="20"/>
        <v>2000</v>
      </c>
      <c r="N170" s="157">
        <f t="shared" si="21"/>
        <v>2000</v>
      </c>
      <c r="O170" s="157">
        <f t="shared" si="22"/>
        <v>666.66666666666663</v>
      </c>
      <c r="P170" s="157">
        <f t="shared" si="23"/>
        <v>0</v>
      </c>
      <c r="Q170" s="157">
        <f t="shared" si="24"/>
        <v>666.66666666666663</v>
      </c>
      <c r="R170" s="157">
        <f t="shared" si="25"/>
        <v>666.66666666666663</v>
      </c>
    </row>
    <row r="171" spans="2:18" ht="15" customHeight="1" x14ac:dyDescent="0.25">
      <c r="B171" s="159" t="s">
        <v>668</v>
      </c>
      <c r="C171" s="160">
        <v>2</v>
      </c>
      <c r="D171" s="160" t="s">
        <v>805</v>
      </c>
      <c r="E171" s="160">
        <v>3</v>
      </c>
      <c r="F171" s="160">
        <v>1000</v>
      </c>
      <c r="G171" s="160">
        <v>2</v>
      </c>
      <c r="H171" s="160"/>
      <c r="I171" s="160">
        <v>6</v>
      </c>
      <c r="J171" s="160">
        <v>8</v>
      </c>
      <c r="K171" s="157">
        <f t="shared" si="18"/>
        <v>2000</v>
      </c>
      <c r="L171" s="157">
        <f t="shared" si="19"/>
        <v>0</v>
      </c>
      <c r="M171" s="157">
        <f t="shared" si="20"/>
        <v>6000</v>
      </c>
      <c r="N171" s="157">
        <f t="shared" si="21"/>
        <v>8000</v>
      </c>
      <c r="O171" s="157">
        <f t="shared" si="22"/>
        <v>666.66666666666663</v>
      </c>
      <c r="P171" s="157">
        <f t="shared" si="23"/>
        <v>0</v>
      </c>
      <c r="Q171" s="157">
        <f t="shared" si="24"/>
        <v>2000</v>
      </c>
      <c r="R171" s="157">
        <f t="shared" si="25"/>
        <v>2666.6666666666665</v>
      </c>
    </row>
    <row r="172" spans="2:18" ht="15" customHeight="1" x14ac:dyDescent="0.25">
      <c r="B172" s="157" t="s">
        <v>916</v>
      </c>
      <c r="C172" s="156">
        <v>5</v>
      </c>
      <c r="D172" s="156" t="s">
        <v>803</v>
      </c>
      <c r="E172" s="156"/>
      <c r="F172" s="156">
        <v>500</v>
      </c>
      <c r="G172" s="156">
        <v>4</v>
      </c>
      <c r="H172" s="156"/>
      <c r="I172" s="156">
        <v>8</v>
      </c>
      <c r="J172" s="156">
        <v>8</v>
      </c>
      <c r="K172" s="157">
        <f t="shared" si="18"/>
        <v>2000</v>
      </c>
      <c r="L172" s="157">
        <f t="shared" si="19"/>
        <v>0</v>
      </c>
      <c r="M172" s="157">
        <f t="shared" si="20"/>
        <v>4000</v>
      </c>
      <c r="N172" s="157">
        <f t="shared" si="21"/>
        <v>4000</v>
      </c>
      <c r="O172" s="157">
        <f t="shared" si="22"/>
        <v>0</v>
      </c>
      <c r="P172" s="157">
        <f t="shared" si="23"/>
        <v>0</v>
      </c>
      <c r="Q172" s="157">
        <f t="shared" si="24"/>
        <v>0</v>
      </c>
      <c r="R172" s="157">
        <f t="shared" si="25"/>
        <v>0</v>
      </c>
    </row>
    <row r="173" spans="2:18" ht="15" customHeight="1" x14ac:dyDescent="0.25">
      <c r="B173" s="157" t="s">
        <v>700</v>
      </c>
      <c r="C173" s="156">
        <v>11</v>
      </c>
      <c r="D173" s="156" t="s">
        <v>805</v>
      </c>
      <c r="E173" s="156">
        <v>10</v>
      </c>
      <c r="F173" s="156">
        <v>18000</v>
      </c>
      <c r="G173" s="156">
        <v>0</v>
      </c>
      <c r="H173" s="156"/>
      <c r="I173" s="156">
        <v>1</v>
      </c>
      <c r="J173" s="156">
        <v>1</v>
      </c>
      <c r="K173" s="157">
        <f t="shared" si="18"/>
        <v>0</v>
      </c>
      <c r="L173" s="157">
        <f t="shared" si="19"/>
        <v>0</v>
      </c>
      <c r="M173" s="157">
        <f t="shared" si="20"/>
        <v>18000</v>
      </c>
      <c r="N173" s="157">
        <f t="shared" si="21"/>
        <v>18000</v>
      </c>
      <c r="O173" s="157">
        <f t="shared" si="22"/>
        <v>0</v>
      </c>
      <c r="P173" s="157">
        <f t="shared" si="23"/>
        <v>0</v>
      </c>
      <c r="Q173" s="157">
        <f t="shared" si="24"/>
        <v>1800</v>
      </c>
      <c r="R173" s="157">
        <f t="shared" si="25"/>
        <v>1800</v>
      </c>
    </row>
    <row r="174" spans="2:18" ht="15" customHeight="1" x14ac:dyDescent="0.25">
      <c r="B174" s="159" t="s">
        <v>658</v>
      </c>
      <c r="C174" s="160">
        <v>2</v>
      </c>
      <c r="D174" s="160" t="s">
        <v>805</v>
      </c>
      <c r="E174" s="160">
        <v>5</v>
      </c>
      <c r="F174" s="160">
        <v>100</v>
      </c>
      <c r="G174" s="160">
        <v>2</v>
      </c>
      <c r="H174" s="160"/>
      <c r="I174" s="160">
        <v>3</v>
      </c>
      <c r="J174" s="160">
        <v>3</v>
      </c>
      <c r="K174" s="157">
        <f t="shared" si="18"/>
        <v>200</v>
      </c>
      <c r="L174" s="157">
        <f t="shared" si="19"/>
        <v>0</v>
      </c>
      <c r="M174" s="157">
        <f t="shared" si="20"/>
        <v>300</v>
      </c>
      <c r="N174" s="157">
        <f t="shared" si="21"/>
        <v>300</v>
      </c>
      <c r="O174" s="157">
        <f t="shared" si="22"/>
        <v>40</v>
      </c>
      <c r="P174" s="157">
        <f t="shared" si="23"/>
        <v>0</v>
      </c>
      <c r="Q174" s="157">
        <f t="shared" si="24"/>
        <v>60</v>
      </c>
      <c r="R174" s="157">
        <f t="shared" si="25"/>
        <v>60</v>
      </c>
    </row>
    <row r="175" spans="2:18" ht="15" customHeight="1" x14ac:dyDescent="0.25">
      <c r="B175" s="157" t="s">
        <v>693</v>
      </c>
      <c r="C175" s="156">
        <v>12</v>
      </c>
      <c r="D175" s="156" t="s">
        <v>805</v>
      </c>
      <c r="E175" s="156">
        <v>10</v>
      </c>
      <c r="F175" s="156">
        <v>10000</v>
      </c>
      <c r="G175" s="156">
        <v>0</v>
      </c>
      <c r="H175" s="156"/>
      <c r="I175" s="156">
        <v>1</v>
      </c>
      <c r="J175" s="156">
        <v>1</v>
      </c>
      <c r="K175" s="157">
        <f t="shared" si="18"/>
        <v>0</v>
      </c>
      <c r="L175" s="157">
        <f t="shared" si="19"/>
        <v>0</v>
      </c>
      <c r="M175" s="157">
        <f t="shared" si="20"/>
        <v>10000</v>
      </c>
      <c r="N175" s="157">
        <f t="shared" si="21"/>
        <v>10000</v>
      </c>
      <c r="O175" s="157">
        <f t="shared" si="22"/>
        <v>0</v>
      </c>
      <c r="P175" s="157">
        <f t="shared" si="23"/>
        <v>0</v>
      </c>
      <c r="Q175" s="157">
        <f t="shared" si="24"/>
        <v>1000</v>
      </c>
      <c r="R175" s="157">
        <f t="shared" si="25"/>
        <v>1000</v>
      </c>
    </row>
    <row r="176" spans="2:18" ht="15" customHeight="1" x14ac:dyDescent="0.25">
      <c r="B176" s="157" t="s">
        <v>917</v>
      </c>
      <c r="C176" s="156">
        <v>5</v>
      </c>
      <c r="D176" s="156" t="s">
        <v>805</v>
      </c>
      <c r="E176" s="156">
        <v>5</v>
      </c>
      <c r="F176" s="156">
        <v>300</v>
      </c>
      <c r="G176" s="156">
        <v>0</v>
      </c>
      <c r="H176" s="156"/>
      <c r="I176" s="156">
        <v>4</v>
      </c>
      <c r="J176" s="156">
        <v>4</v>
      </c>
      <c r="K176" s="157">
        <f t="shared" si="18"/>
        <v>0</v>
      </c>
      <c r="L176" s="157">
        <f t="shared" si="19"/>
        <v>0</v>
      </c>
      <c r="M176" s="157">
        <f t="shared" si="20"/>
        <v>1200</v>
      </c>
      <c r="N176" s="157">
        <f t="shared" si="21"/>
        <v>1200</v>
      </c>
      <c r="O176" s="157">
        <f t="shared" si="22"/>
        <v>0</v>
      </c>
      <c r="P176" s="157">
        <f t="shared" si="23"/>
        <v>0</v>
      </c>
      <c r="Q176" s="157">
        <f t="shared" si="24"/>
        <v>240</v>
      </c>
      <c r="R176" s="157">
        <f t="shared" si="25"/>
        <v>240</v>
      </c>
    </row>
    <row r="177" spans="2:18" ht="15" customHeight="1" x14ac:dyDescent="0.25">
      <c r="B177" s="159" t="s">
        <v>918</v>
      </c>
      <c r="C177" s="160">
        <v>2</v>
      </c>
      <c r="D177" s="160" t="s">
        <v>805</v>
      </c>
      <c r="E177" s="160">
        <v>5</v>
      </c>
      <c r="F177" s="160">
        <v>1600</v>
      </c>
      <c r="G177" s="160">
        <v>2</v>
      </c>
      <c r="H177" s="160"/>
      <c r="I177" s="162">
        <v>2</v>
      </c>
      <c r="J177" s="162">
        <v>2</v>
      </c>
      <c r="K177" s="157">
        <f t="shared" si="18"/>
        <v>3200</v>
      </c>
      <c r="L177" s="157">
        <f t="shared" si="19"/>
        <v>0</v>
      </c>
      <c r="M177" s="157">
        <f t="shared" si="20"/>
        <v>3200</v>
      </c>
      <c r="N177" s="157">
        <f t="shared" si="21"/>
        <v>3200</v>
      </c>
      <c r="O177" s="157">
        <f t="shared" si="22"/>
        <v>640</v>
      </c>
      <c r="P177" s="157">
        <f t="shared" si="23"/>
        <v>0</v>
      </c>
      <c r="Q177" s="157">
        <f t="shared" si="24"/>
        <v>640</v>
      </c>
      <c r="R177" s="157">
        <f t="shared" si="25"/>
        <v>640</v>
      </c>
    </row>
    <row r="178" spans="2:18" ht="15" customHeight="1" x14ac:dyDescent="0.25">
      <c r="B178" s="157" t="s">
        <v>919</v>
      </c>
      <c r="C178" s="156">
        <v>5</v>
      </c>
      <c r="D178" s="156" t="s">
        <v>805</v>
      </c>
      <c r="E178" s="156">
        <v>8</v>
      </c>
      <c r="F178" s="156">
        <v>65000</v>
      </c>
      <c r="G178" s="156">
        <v>2</v>
      </c>
      <c r="H178" s="156"/>
      <c r="I178" s="156">
        <v>5</v>
      </c>
      <c r="J178" s="156">
        <v>5</v>
      </c>
      <c r="K178" s="157">
        <f t="shared" si="18"/>
        <v>130000</v>
      </c>
      <c r="L178" s="157">
        <f t="shared" si="19"/>
        <v>0</v>
      </c>
      <c r="M178" s="157">
        <f t="shared" si="20"/>
        <v>325000</v>
      </c>
      <c r="N178" s="157">
        <f t="shared" si="21"/>
        <v>325000</v>
      </c>
      <c r="O178" s="157">
        <f t="shared" si="22"/>
        <v>16250</v>
      </c>
      <c r="P178" s="157">
        <f t="shared" si="23"/>
        <v>0</v>
      </c>
      <c r="Q178" s="157">
        <f t="shared" si="24"/>
        <v>40625</v>
      </c>
      <c r="R178" s="157">
        <f t="shared" si="25"/>
        <v>40625</v>
      </c>
    </row>
    <row r="179" spans="2:18" ht="15" customHeight="1" x14ac:dyDescent="0.25">
      <c r="B179" s="157" t="s">
        <v>920</v>
      </c>
      <c r="C179" s="156">
        <v>6</v>
      </c>
      <c r="D179" s="156" t="s">
        <v>805</v>
      </c>
      <c r="E179" s="156">
        <v>13</v>
      </c>
      <c r="F179" s="156">
        <v>1800000</v>
      </c>
      <c r="G179" s="156">
        <v>0</v>
      </c>
      <c r="H179" s="156"/>
      <c r="I179" s="156">
        <v>0</v>
      </c>
      <c r="J179" s="156">
        <v>2</v>
      </c>
      <c r="K179" s="157">
        <f t="shared" si="18"/>
        <v>0</v>
      </c>
      <c r="L179" s="157">
        <f t="shared" si="19"/>
        <v>0</v>
      </c>
      <c r="M179" s="157">
        <f t="shared" si="20"/>
        <v>0</v>
      </c>
      <c r="N179" s="157">
        <f t="shared" si="21"/>
        <v>3600000</v>
      </c>
      <c r="O179" s="157">
        <f t="shared" si="22"/>
        <v>0</v>
      </c>
      <c r="P179" s="157">
        <f t="shared" si="23"/>
        <v>0</v>
      </c>
      <c r="Q179" s="157">
        <f t="shared" si="24"/>
        <v>0</v>
      </c>
      <c r="R179" s="157">
        <f t="shared" si="25"/>
        <v>276923.07692307694</v>
      </c>
    </row>
    <row r="180" spans="2:18" ht="15" customHeight="1" x14ac:dyDescent="0.25">
      <c r="B180" s="157" t="s">
        <v>921</v>
      </c>
      <c r="C180" s="156">
        <v>10</v>
      </c>
      <c r="D180" s="156" t="s">
        <v>805</v>
      </c>
      <c r="E180" s="156">
        <v>5</v>
      </c>
      <c r="F180" s="156">
        <v>2000</v>
      </c>
      <c r="G180" s="156">
        <v>1</v>
      </c>
      <c r="H180" s="156">
        <v>1</v>
      </c>
      <c r="I180" s="156">
        <v>1</v>
      </c>
      <c r="J180" s="156">
        <v>1</v>
      </c>
      <c r="K180" s="157">
        <f t="shared" si="18"/>
        <v>2000</v>
      </c>
      <c r="L180" s="157">
        <f t="shared" si="19"/>
        <v>2000</v>
      </c>
      <c r="M180" s="157">
        <f t="shared" si="20"/>
        <v>2000</v>
      </c>
      <c r="N180" s="157">
        <f t="shared" si="21"/>
        <v>2000</v>
      </c>
      <c r="O180" s="157">
        <f t="shared" si="22"/>
        <v>400</v>
      </c>
      <c r="P180" s="157">
        <f t="shared" si="23"/>
        <v>400</v>
      </c>
      <c r="Q180" s="157">
        <f t="shared" si="24"/>
        <v>400</v>
      </c>
      <c r="R180" s="157">
        <f t="shared" si="25"/>
        <v>400</v>
      </c>
    </row>
    <row r="181" spans="2:18" ht="15" customHeight="1" x14ac:dyDescent="0.25">
      <c r="B181" s="157" t="s">
        <v>922</v>
      </c>
      <c r="C181" s="156">
        <v>5</v>
      </c>
      <c r="D181" s="156" t="s">
        <v>805</v>
      </c>
      <c r="E181" s="156">
        <v>5</v>
      </c>
      <c r="F181" s="156">
        <v>1000</v>
      </c>
      <c r="G181" s="156">
        <v>1</v>
      </c>
      <c r="H181" s="156"/>
      <c r="I181" s="156">
        <v>2</v>
      </c>
      <c r="J181" s="156">
        <v>2</v>
      </c>
      <c r="K181" s="157">
        <f t="shared" si="18"/>
        <v>1000</v>
      </c>
      <c r="L181" s="157">
        <f t="shared" si="19"/>
        <v>0</v>
      </c>
      <c r="M181" s="157">
        <f t="shared" si="20"/>
        <v>2000</v>
      </c>
      <c r="N181" s="157">
        <f t="shared" si="21"/>
        <v>2000</v>
      </c>
      <c r="O181" s="157">
        <f t="shared" si="22"/>
        <v>200</v>
      </c>
      <c r="P181" s="157">
        <f t="shared" si="23"/>
        <v>0</v>
      </c>
      <c r="Q181" s="157">
        <f t="shared" si="24"/>
        <v>400</v>
      </c>
      <c r="R181" s="157">
        <f t="shared" si="25"/>
        <v>400</v>
      </c>
    </row>
    <row r="182" spans="2:18" ht="15" customHeight="1" x14ac:dyDescent="0.25">
      <c r="B182" s="159" t="s">
        <v>923</v>
      </c>
      <c r="C182" s="160">
        <v>2</v>
      </c>
      <c r="D182" s="160" t="s">
        <v>805</v>
      </c>
      <c r="E182" s="160">
        <v>7</v>
      </c>
      <c r="F182" s="160">
        <v>8000</v>
      </c>
      <c r="G182" s="160">
        <v>0</v>
      </c>
      <c r="H182" s="160"/>
      <c r="I182" s="160">
        <v>2</v>
      </c>
      <c r="J182" s="160">
        <v>3</v>
      </c>
      <c r="K182" s="157">
        <f t="shared" si="18"/>
        <v>0</v>
      </c>
      <c r="L182" s="157">
        <f t="shared" si="19"/>
        <v>0</v>
      </c>
      <c r="M182" s="157">
        <f t="shared" si="20"/>
        <v>16000</v>
      </c>
      <c r="N182" s="157">
        <f t="shared" si="21"/>
        <v>24000</v>
      </c>
      <c r="O182" s="157">
        <f t="shared" si="22"/>
        <v>0</v>
      </c>
      <c r="P182" s="157">
        <f t="shared" si="23"/>
        <v>0</v>
      </c>
      <c r="Q182" s="157">
        <f t="shared" si="24"/>
        <v>2285.7142857142858</v>
      </c>
      <c r="R182" s="157">
        <f t="shared" si="25"/>
        <v>3428.5714285714284</v>
      </c>
    </row>
    <row r="183" spans="2:18" ht="15" customHeight="1" x14ac:dyDescent="0.25">
      <c r="B183" s="157" t="s">
        <v>924</v>
      </c>
      <c r="C183" s="156">
        <v>15</v>
      </c>
      <c r="D183" s="156" t="s">
        <v>805</v>
      </c>
      <c r="E183" s="156">
        <v>15</v>
      </c>
      <c r="F183" s="156">
        <v>1500000</v>
      </c>
      <c r="G183" s="156">
        <v>0</v>
      </c>
      <c r="H183" s="156"/>
      <c r="I183" s="156">
        <v>1</v>
      </c>
      <c r="J183" s="156">
        <v>1</v>
      </c>
      <c r="K183" s="157">
        <f t="shared" si="18"/>
        <v>0</v>
      </c>
      <c r="L183" s="157">
        <f t="shared" si="19"/>
        <v>0</v>
      </c>
      <c r="M183" s="157">
        <f t="shared" si="20"/>
        <v>1500000</v>
      </c>
      <c r="N183" s="157">
        <f t="shared" si="21"/>
        <v>1500000</v>
      </c>
      <c r="O183" s="157">
        <f t="shared" si="22"/>
        <v>0</v>
      </c>
      <c r="P183" s="157">
        <f t="shared" si="23"/>
        <v>0</v>
      </c>
      <c r="Q183" s="157">
        <f t="shared" si="24"/>
        <v>100000</v>
      </c>
      <c r="R183" s="157">
        <f t="shared" si="25"/>
        <v>100000</v>
      </c>
    </row>
    <row r="184" spans="2:18" ht="15" customHeight="1" x14ac:dyDescent="0.25">
      <c r="B184" s="157" t="s">
        <v>692</v>
      </c>
      <c r="C184" s="156">
        <v>12</v>
      </c>
      <c r="D184" s="156" t="s">
        <v>805</v>
      </c>
      <c r="E184" s="156">
        <v>5</v>
      </c>
      <c r="F184" s="156">
        <v>5000</v>
      </c>
      <c r="G184" s="156">
        <v>0</v>
      </c>
      <c r="H184" s="156"/>
      <c r="I184" s="156">
        <v>1</v>
      </c>
      <c r="J184" s="156">
        <v>1</v>
      </c>
      <c r="K184" s="157">
        <f t="shared" si="18"/>
        <v>0</v>
      </c>
      <c r="L184" s="157">
        <f t="shared" si="19"/>
        <v>0</v>
      </c>
      <c r="M184" s="157">
        <f t="shared" si="20"/>
        <v>5000</v>
      </c>
      <c r="N184" s="157">
        <f t="shared" si="21"/>
        <v>5000</v>
      </c>
      <c r="O184" s="157">
        <f t="shared" si="22"/>
        <v>0</v>
      </c>
      <c r="P184" s="157">
        <f t="shared" si="23"/>
        <v>0</v>
      </c>
      <c r="Q184" s="157">
        <f t="shared" si="24"/>
        <v>1000</v>
      </c>
      <c r="R184" s="157">
        <f t="shared" si="25"/>
        <v>1000</v>
      </c>
    </row>
    <row r="185" spans="2:18" ht="15" customHeight="1" x14ac:dyDescent="0.25"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</row>
    <row r="186" spans="2:18" ht="15" customHeight="1" x14ac:dyDescent="0.25">
      <c r="K186" s="207" t="s">
        <v>165</v>
      </c>
      <c r="L186" s="207" t="s">
        <v>968</v>
      </c>
      <c r="M186" s="207" t="s">
        <v>166</v>
      </c>
      <c r="N186" s="207" t="s">
        <v>802</v>
      </c>
    </row>
    <row r="187" spans="2:18" ht="15" customHeight="1" x14ac:dyDescent="0.25">
      <c r="G187" s="292" t="s">
        <v>709</v>
      </c>
      <c r="H187" s="292"/>
      <c r="I187" s="292"/>
      <c r="J187" s="292"/>
      <c r="K187" s="165">
        <f>SUMIF($D$5:$D$184,"e",K5:K184)</f>
        <v>1600261</v>
      </c>
      <c r="L187" s="165">
        <f>SUMIF($D$5:$D$184,"e",L5:L184)</f>
        <v>631650</v>
      </c>
      <c r="M187" s="165">
        <f t="shared" ref="M187:N187" si="26">SUMIF($D$5:$D$184,"e",M5:M184)</f>
        <v>10243761</v>
      </c>
      <c r="N187" s="165">
        <f t="shared" si="26"/>
        <v>23030311</v>
      </c>
    </row>
    <row r="188" spans="2:18" ht="15" customHeight="1" x14ac:dyDescent="0.25">
      <c r="G188" s="292" t="s">
        <v>147</v>
      </c>
      <c r="H188" s="292"/>
      <c r="I188" s="292"/>
      <c r="J188" s="292"/>
      <c r="K188" s="165">
        <f>SUMIF($D$5:$D$184,"s",K5:K184)</f>
        <v>60275</v>
      </c>
      <c r="L188" s="165">
        <f t="shared" ref="L188:N188" si="27">SUMIF($D$5:$D$184,"s",L5:L184)</f>
        <v>10000</v>
      </c>
      <c r="M188" s="165">
        <f t="shared" si="27"/>
        <v>295575</v>
      </c>
      <c r="N188" s="165">
        <f t="shared" si="27"/>
        <v>302675</v>
      </c>
    </row>
    <row r="189" spans="2:18" ht="15" customHeight="1" x14ac:dyDescent="0.25">
      <c r="G189" s="292" t="s">
        <v>628</v>
      </c>
      <c r="H189" s="292"/>
      <c r="I189" s="292"/>
      <c r="J189" s="292"/>
      <c r="K189" s="166">
        <f>SUM(O5:O184)</f>
        <v>198360.85079365084</v>
      </c>
      <c r="L189" s="166">
        <f t="shared" ref="L189:N189" si="28">SUM(P5:P184)</f>
        <v>79520.873015873018</v>
      </c>
      <c r="M189" s="166">
        <f t="shared" si="28"/>
        <v>1085384.1841269839</v>
      </c>
      <c r="N189" s="166">
        <f t="shared" si="28"/>
        <v>2196794.3672771677</v>
      </c>
    </row>
  </sheetData>
  <sheetProtection algorithmName="SHA-512" hashValue="CTfTTvr4ExWisn7TD1oBx8TNhMXQomk9O4e59HDwo9Hv6i5KN2pjUKMpoSutfDAnVrfa0AF215iWxa68x+JP9Q==" saltValue="e1Nj/mVQ2q6HZ9OgS50pbg==" spinCount="100000" sheet="1" objects="1" scenarios="1"/>
  <mergeCells count="12">
    <mergeCell ref="G189:J189"/>
    <mergeCell ref="B3:B4"/>
    <mergeCell ref="C3:C4"/>
    <mergeCell ref="D3:D4"/>
    <mergeCell ref="E3:E4"/>
    <mergeCell ref="F3:F4"/>
    <mergeCell ref="G3:J3"/>
    <mergeCell ref="B2:R2"/>
    <mergeCell ref="K3:N3"/>
    <mergeCell ref="O3:R3"/>
    <mergeCell ref="G187:J187"/>
    <mergeCell ref="G188:J188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B2:G17"/>
  <sheetViews>
    <sheetView zoomScale="115" zoomScaleNormal="115" workbookViewId="0">
      <selection activeCell="G6" sqref="G6"/>
    </sheetView>
  </sheetViews>
  <sheetFormatPr defaultRowHeight="15" x14ac:dyDescent="0.25"/>
  <cols>
    <col min="2" max="2" width="14.7109375" bestFit="1" customWidth="1"/>
    <col min="4" max="5" width="10.5703125" bestFit="1" customWidth="1"/>
    <col min="7" max="7" width="9.5703125" bestFit="1" customWidth="1"/>
  </cols>
  <sheetData>
    <row r="2" spans="2:7" x14ac:dyDescent="0.25">
      <c r="D2" t="s">
        <v>732</v>
      </c>
      <c r="E2" t="s">
        <v>133</v>
      </c>
    </row>
    <row r="3" spans="2:7" x14ac:dyDescent="0.25">
      <c r="B3" t="s">
        <v>731</v>
      </c>
      <c r="D3" s="21">
        <f>2*6*6*54</f>
        <v>3888</v>
      </c>
      <c r="E3" s="21">
        <f>2*6*6*54</f>
        <v>3888</v>
      </c>
    </row>
    <row r="4" spans="2:7" x14ac:dyDescent="0.25">
      <c r="B4" t="s">
        <v>733</v>
      </c>
      <c r="D4" s="21">
        <f>D3*5</f>
        <v>19440</v>
      </c>
      <c r="E4" s="21">
        <f>E3*6</f>
        <v>23328</v>
      </c>
      <c r="F4" s="22">
        <f>SUM(D4:E4)</f>
        <v>42768</v>
      </c>
    </row>
    <row r="5" spans="2:7" x14ac:dyDescent="0.25">
      <c r="E5" t="s">
        <v>734</v>
      </c>
      <c r="G5" t="s">
        <v>955</v>
      </c>
    </row>
    <row r="6" spans="2:7" x14ac:dyDescent="0.25">
      <c r="B6" t="s">
        <v>715</v>
      </c>
      <c r="C6">
        <f>pop_1</f>
        <v>10000</v>
      </c>
      <c r="D6" s="21">
        <f>SUM(Sheet1!H3:H54)</f>
        <v>5713.6359001399978</v>
      </c>
      <c r="E6" s="41">
        <f>D6/$F$4</f>
        <v>0.13359605078890754</v>
      </c>
      <c r="G6" s="21">
        <f>gpop/Capacity!C6</f>
        <v>2279</v>
      </c>
    </row>
    <row r="7" spans="2:7" x14ac:dyDescent="0.25">
      <c r="C7">
        <f>pop_2</f>
        <v>15000</v>
      </c>
      <c r="D7" s="21">
        <f>SUM(Sheet1!L3:L54)</f>
        <v>8570.4538502100022</v>
      </c>
      <c r="E7" s="41">
        <f t="shared" ref="E7:E9" si="0">D7/$F$4</f>
        <v>0.20039407618336144</v>
      </c>
      <c r="G7" s="21">
        <f>gpop/Capacity!C7</f>
        <v>1519.3333333333333</v>
      </c>
    </row>
    <row r="8" spans="2:7" x14ac:dyDescent="0.25">
      <c r="C8">
        <f>pop_3</f>
        <v>20000</v>
      </c>
      <c r="D8" s="21">
        <f>SUM(Sheet1!P3:P54)</f>
        <v>11427.271800279996</v>
      </c>
      <c r="E8" s="41">
        <f t="shared" si="0"/>
        <v>0.26719210157781509</v>
      </c>
      <c r="G8" s="21">
        <f>gpop/Capacity!C8</f>
        <v>1139.5</v>
      </c>
    </row>
    <row r="9" spans="2:7" x14ac:dyDescent="0.25">
      <c r="C9">
        <f>Pop_4</f>
        <v>25000</v>
      </c>
      <c r="D9" s="21">
        <f>SUM(Sheet1!T3:T54)</f>
        <v>14284.089750350004</v>
      </c>
      <c r="E9" s="41">
        <f t="shared" si="0"/>
        <v>0.3339901269722691</v>
      </c>
      <c r="G9" s="21">
        <f>gpop/Capacity!C9</f>
        <v>911.6</v>
      </c>
    </row>
    <row r="10" spans="2:7" x14ac:dyDescent="0.25">
      <c r="D10" s="21"/>
      <c r="E10" s="41"/>
      <c r="G10" s="21"/>
    </row>
    <row r="11" spans="2:7" s="19" customFormat="1" x14ac:dyDescent="0.25">
      <c r="D11" s="21"/>
      <c r="E11" s="41"/>
    </row>
    <row r="13" spans="2:7" x14ac:dyDescent="0.25">
      <c r="C13">
        <f>C6</f>
        <v>10000</v>
      </c>
      <c r="D13" s="21">
        <f>Sheet1!Y69</f>
        <v>6464.0348851609997</v>
      </c>
      <c r="E13" s="41">
        <f>D13/$F$4</f>
        <v>0.15114185571364103</v>
      </c>
    </row>
    <row r="14" spans="2:7" x14ac:dyDescent="0.25">
      <c r="C14" s="19">
        <f t="shared" ref="C14:C16" si="1">C7</f>
        <v>15000</v>
      </c>
      <c r="D14" s="21">
        <f>Sheet1!AC69</f>
        <v>9856.0219277414999</v>
      </c>
      <c r="E14" s="41">
        <f t="shared" ref="E14:E16" si="2">D14/$F$4</f>
        <v>0.23045318761086558</v>
      </c>
    </row>
    <row r="15" spans="2:7" x14ac:dyDescent="0.25">
      <c r="C15" s="19">
        <f t="shared" si="1"/>
        <v>20000</v>
      </c>
      <c r="D15" s="21">
        <f>Sheet1!AG69</f>
        <v>12928.069770321999</v>
      </c>
      <c r="E15" s="41">
        <f t="shared" si="2"/>
        <v>0.30228371142728205</v>
      </c>
    </row>
    <row r="16" spans="2:7" x14ac:dyDescent="0.25">
      <c r="C16" s="19">
        <f t="shared" si="1"/>
        <v>25000</v>
      </c>
      <c r="D16" s="21">
        <f>Sheet1!AK69</f>
        <v>16160.087212902499</v>
      </c>
      <c r="E16" s="41">
        <f t="shared" si="2"/>
        <v>0.37785463928410257</v>
      </c>
    </row>
    <row r="17" spans="3:5" x14ac:dyDescent="0.25">
      <c r="C17" s="19"/>
      <c r="D17" s="21"/>
      <c r="E17" s="4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N21"/>
  <sheetViews>
    <sheetView showGridLines="0" zoomScaleNormal="100" workbookViewId="0">
      <selection activeCell="V30" sqref="V30"/>
    </sheetView>
  </sheetViews>
  <sheetFormatPr defaultRowHeight="15" x14ac:dyDescent="0.25"/>
  <cols>
    <col min="1" max="1" width="9.140625" style="63"/>
    <col min="2" max="2" width="49.85546875" style="63" bestFit="1" customWidth="1"/>
    <col min="3" max="3" width="16" style="63" bestFit="1" customWidth="1"/>
    <col min="4" max="4" width="10" style="63" customWidth="1"/>
    <col min="5" max="5" width="16" style="63" bestFit="1" customWidth="1"/>
    <col min="6" max="6" width="10" style="63" customWidth="1"/>
    <col min="7" max="7" width="16" style="63" bestFit="1" customWidth="1"/>
    <col min="8" max="8" width="10" style="63" customWidth="1"/>
    <col min="9" max="9" width="16.28515625" style="63" customWidth="1"/>
    <col min="10" max="10" width="10" style="63" customWidth="1"/>
    <col min="11" max="11" width="16" style="63" bestFit="1" customWidth="1"/>
    <col min="12" max="12" width="15" style="63" customWidth="1"/>
    <col min="13" max="13" width="16" style="63" bestFit="1" customWidth="1"/>
    <col min="14" max="16384" width="9.140625" style="63"/>
  </cols>
  <sheetData>
    <row r="2" spans="2:14" ht="18.75" customHeight="1" x14ac:dyDescent="0.25">
      <c r="B2" s="230" t="s">
        <v>793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2:14" ht="35.25" customHeight="1" x14ac:dyDescent="0.25">
      <c r="B3" s="232" t="s">
        <v>242</v>
      </c>
      <c r="C3" s="213" t="s">
        <v>629</v>
      </c>
      <c r="D3" s="228" t="s">
        <v>788</v>
      </c>
      <c r="E3" s="229"/>
      <c r="F3" s="228" t="s">
        <v>789</v>
      </c>
      <c r="G3" s="229"/>
      <c r="H3" s="228" t="s">
        <v>790</v>
      </c>
      <c r="I3" s="229"/>
      <c r="J3" s="228" t="s">
        <v>791</v>
      </c>
      <c r="K3" s="229"/>
      <c r="L3" s="228" t="s">
        <v>8</v>
      </c>
      <c r="M3" s="229"/>
    </row>
    <row r="4" spans="2:14" ht="18.75" x14ac:dyDescent="0.25">
      <c r="B4" s="233"/>
      <c r="C4" s="214"/>
      <c r="D4" s="192" t="s">
        <v>792</v>
      </c>
      <c r="E4" s="151" t="s">
        <v>629</v>
      </c>
      <c r="F4" s="192" t="s">
        <v>792</v>
      </c>
      <c r="G4" s="151" t="s">
        <v>629</v>
      </c>
      <c r="H4" s="192" t="s">
        <v>792</v>
      </c>
      <c r="I4" s="151" t="s">
        <v>629</v>
      </c>
      <c r="J4" s="192" t="s">
        <v>792</v>
      </c>
      <c r="K4" s="151" t="s">
        <v>629</v>
      </c>
      <c r="L4" s="192" t="s">
        <v>792</v>
      </c>
      <c r="M4" s="151" t="s">
        <v>629</v>
      </c>
    </row>
    <row r="5" spans="2:14" ht="18.75" x14ac:dyDescent="0.3">
      <c r="B5" s="50" t="s">
        <v>595</v>
      </c>
      <c r="C5" s="135">
        <f>Pricing!C4</f>
        <v>2605497.2999999998</v>
      </c>
      <c r="D5" s="140"/>
      <c r="E5" s="137">
        <f>D5*C5</f>
        <v>0</v>
      </c>
      <c r="F5" s="140"/>
      <c r="G5" s="137">
        <f>F5*C5</f>
        <v>0</v>
      </c>
      <c r="H5" s="140"/>
      <c r="I5" s="137">
        <f>H5*C5</f>
        <v>0</v>
      </c>
      <c r="J5" s="140"/>
      <c r="K5" s="136">
        <f>J5*C5</f>
        <v>0</v>
      </c>
      <c r="L5" s="146">
        <f>D5+F5+H5+J5</f>
        <v>0</v>
      </c>
      <c r="M5" s="136">
        <f>SUM(E5,G5,I5,K5)</f>
        <v>0</v>
      </c>
      <c r="N5" s="138" t="str">
        <f>IF(L5&gt;100%,"Please re-check (%) distribution","")</f>
        <v/>
      </c>
    </row>
    <row r="6" spans="2:14" ht="18.75" x14ac:dyDescent="0.3">
      <c r="B6" s="50" t="s">
        <v>643</v>
      </c>
      <c r="C6" s="135">
        <f>Pricing!C5</f>
        <v>155924.17460317462</v>
      </c>
      <c r="D6" s="140"/>
      <c r="E6" s="137">
        <f>D6*C6</f>
        <v>0</v>
      </c>
      <c r="F6" s="140"/>
      <c r="G6" s="137">
        <f>F6*C6</f>
        <v>0</v>
      </c>
      <c r="H6" s="140"/>
      <c r="I6" s="137">
        <f>H6*C6</f>
        <v>0</v>
      </c>
      <c r="J6" s="140"/>
      <c r="K6" s="136">
        <f>J6*C6</f>
        <v>0</v>
      </c>
      <c r="L6" s="146">
        <f t="shared" ref="L6:L8" si="0">D6+F6+H6+J6</f>
        <v>0</v>
      </c>
      <c r="M6" s="136">
        <f t="shared" ref="M6:M8" si="1">SUM(E6,G6,I6,K6)</f>
        <v>0</v>
      </c>
      <c r="N6" s="138" t="str">
        <f t="shared" ref="N6:N8" si="2">IF(L6&gt;100%,"Please re-check (%) distribution","")</f>
        <v/>
      </c>
    </row>
    <row r="7" spans="2:14" ht="18.75" x14ac:dyDescent="0.3">
      <c r="B7" s="50" t="s">
        <v>787</v>
      </c>
      <c r="C7" s="135">
        <f>Pricing!C13</f>
        <v>0</v>
      </c>
      <c r="D7" s="140"/>
      <c r="E7" s="137">
        <f>D7*C7</f>
        <v>0</v>
      </c>
      <c r="F7" s="140"/>
      <c r="G7" s="137">
        <f>F7*C7</f>
        <v>0</v>
      </c>
      <c r="H7" s="140"/>
      <c r="I7" s="137">
        <f>H7*C7</f>
        <v>0</v>
      </c>
      <c r="J7" s="140"/>
      <c r="K7" s="136">
        <f>J7*C7</f>
        <v>0</v>
      </c>
      <c r="L7" s="146">
        <f t="shared" si="0"/>
        <v>0</v>
      </c>
      <c r="M7" s="136">
        <f t="shared" si="1"/>
        <v>0</v>
      </c>
      <c r="N7" s="138" t="str">
        <f t="shared" si="2"/>
        <v/>
      </c>
    </row>
    <row r="8" spans="2:14" ht="18.75" x14ac:dyDescent="0.3">
      <c r="B8" s="50" t="s">
        <v>783</v>
      </c>
      <c r="C8" s="135">
        <f>Pricing!C14</f>
        <v>0</v>
      </c>
      <c r="D8" s="140"/>
      <c r="E8" s="137">
        <f>D8*C8</f>
        <v>0</v>
      </c>
      <c r="F8" s="140"/>
      <c r="G8" s="137">
        <f>F8*C8</f>
        <v>0</v>
      </c>
      <c r="H8" s="140"/>
      <c r="I8" s="137">
        <f>H8*C8</f>
        <v>0</v>
      </c>
      <c r="J8" s="140"/>
      <c r="K8" s="136">
        <f>J8*C8</f>
        <v>0</v>
      </c>
      <c r="L8" s="146">
        <f t="shared" si="0"/>
        <v>0</v>
      </c>
      <c r="M8" s="136">
        <f t="shared" si="1"/>
        <v>0</v>
      </c>
      <c r="N8" s="138" t="str">
        <f t="shared" si="2"/>
        <v/>
      </c>
    </row>
    <row r="9" spans="2:14" ht="18.75" x14ac:dyDescent="0.25">
      <c r="B9" s="153" t="s">
        <v>8</v>
      </c>
      <c r="C9" s="151">
        <f>SUM(C5:C8)</f>
        <v>2761421.4746031743</v>
      </c>
      <c r="D9" s="151"/>
      <c r="E9" s="151">
        <f>SUM(E5:E8)</f>
        <v>0</v>
      </c>
      <c r="F9" s="151"/>
      <c r="G9" s="151">
        <f>SUM(G5:G8)</f>
        <v>0</v>
      </c>
      <c r="H9" s="151"/>
      <c r="I9" s="151">
        <f>SUM(I5:I8)</f>
        <v>0</v>
      </c>
      <c r="J9" s="151"/>
      <c r="K9" s="151">
        <f>SUM(K5:K8)</f>
        <v>0</v>
      </c>
      <c r="L9" s="151"/>
      <c r="M9" s="151">
        <f>SUM(M5:M8)</f>
        <v>0</v>
      </c>
    </row>
    <row r="12" spans="2:14" ht="18.75" x14ac:dyDescent="0.3">
      <c r="D12" s="139"/>
      <c r="E12" s="43" t="s">
        <v>794</v>
      </c>
    </row>
    <row r="18" spans="3:5" x14ac:dyDescent="0.25">
      <c r="C18" s="84" t="str">
        <f>D3</f>
        <v>District Government</v>
      </c>
      <c r="D18" s="84">
        <f>E9</f>
        <v>0</v>
      </c>
      <c r="E18" s="88">
        <f>D18/$C$9</f>
        <v>0</v>
      </c>
    </row>
    <row r="19" spans="3:5" x14ac:dyDescent="0.25">
      <c r="C19" s="84" t="str">
        <f>F3</f>
        <v>Provincial Government</v>
      </c>
      <c r="D19" s="84">
        <f>G9</f>
        <v>0</v>
      </c>
      <c r="E19" s="88">
        <f t="shared" ref="E19:E21" si="3">D19/$C$9</f>
        <v>0</v>
      </c>
    </row>
    <row r="20" spans="3:5" x14ac:dyDescent="0.25">
      <c r="C20" s="84" t="str">
        <f>H3</f>
        <v>Federal Government</v>
      </c>
      <c r="D20" s="84">
        <f>I9</f>
        <v>0</v>
      </c>
      <c r="E20" s="88">
        <f t="shared" si="3"/>
        <v>0</v>
      </c>
    </row>
    <row r="21" spans="3:5" x14ac:dyDescent="0.25">
      <c r="C21" s="84" t="str">
        <f>J3</f>
        <v>Development Partners</v>
      </c>
      <c r="D21" s="84">
        <f>K9</f>
        <v>0</v>
      </c>
      <c r="E21" s="88">
        <f t="shared" si="3"/>
        <v>0</v>
      </c>
    </row>
  </sheetData>
  <sheetProtection sheet="1" objects="1" scenarios="1"/>
  <mergeCells count="8">
    <mergeCell ref="L3:M3"/>
    <mergeCell ref="B2:M2"/>
    <mergeCell ref="D3:E3"/>
    <mergeCell ref="F3:G3"/>
    <mergeCell ref="H3:I3"/>
    <mergeCell ref="J3:K3"/>
    <mergeCell ref="B3:B4"/>
    <mergeCell ref="C3: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C3:H6"/>
  <sheetViews>
    <sheetView topLeftCell="A10" workbookViewId="0">
      <selection activeCell="L40" sqref="L40"/>
    </sheetView>
  </sheetViews>
  <sheetFormatPr defaultRowHeight="15" x14ac:dyDescent="0.25"/>
  <sheetData>
    <row r="3" spans="3:8" x14ac:dyDescent="0.25">
      <c r="C3" s="19" t="str">
        <f>BHU_Cost!B3</f>
        <v>Catchment Population</v>
      </c>
      <c r="D3" s="133" t="s">
        <v>745</v>
      </c>
      <c r="E3" s="133" t="s">
        <v>746</v>
      </c>
      <c r="F3" s="133" t="s">
        <v>747</v>
      </c>
      <c r="G3" s="133" t="s">
        <v>748</v>
      </c>
      <c r="H3" s="133" t="s">
        <v>749</v>
      </c>
    </row>
    <row r="4" spans="3:8" x14ac:dyDescent="0.25">
      <c r="C4" t="s">
        <v>710</v>
      </c>
      <c r="D4" s="21">
        <f>BHU_Cost!C14</f>
        <v>347.08459085642625</v>
      </c>
      <c r="E4" s="21">
        <f>BHU_Cost!D14</f>
        <v>249.38651260245797</v>
      </c>
      <c r="F4" s="21">
        <f>BHU_Cost!E14</f>
        <v>200.53747347547386</v>
      </c>
      <c r="G4" s="21">
        <f>BHU_Cost!F14</f>
        <v>171.2280499992834</v>
      </c>
      <c r="H4" s="21" t="e">
        <f>BHU_Cost!#REF!</f>
        <v>#REF!</v>
      </c>
    </row>
    <row r="5" spans="3:8" x14ac:dyDescent="0.25">
      <c r="C5" t="s">
        <v>743</v>
      </c>
      <c r="D5" s="21">
        <f>BHU_Cost!C23</f>
        <v>53.990356094521495</v>
      </c>
      <c r="E5" s="21">
        <f>BHU_Cost!D23</f>
        <v>53.990356094521502</v>
      </c>
      <c r="F5" s="21">
        <f>BHU_Cost!E23</f>
        <v>53.990356094521495</v>
      </c>
      <c r="G5" s="21">
        <f>BHU_Cost!F23</f>
        <v>53.990356094521509</v>
      </c>
      <c r="H5" s="21" t="e">
        <f>BHU_Cost!#REF!</f>
        <v>#REF!</v>
      </c>
    </row>
    <row r="6" spans="3:8" x14ac:dyDescent="0.25">
      <c r="C6" t="s">
        <v>744</v>
      </c>
      <c r="D6" s="21">
        <f>BHU_Cost!C24</f>
        <v>293.09423476190472</v>
      </c>
      <c r="E6" s="21">
        <f>BHU_Cost!D24</f>
        <v>195.3961565079365</v>
      </c>
      <c r="F6" s="21">
        <f>BHU_Cost!E24</f>
        <v>146.54711738095236</v>
      </c>
      <c r="G6" s="21">
        <f>BHU_Cost!F24</f>
        <v>117.2376939047619</v>
      </c>
      <c r="H6" s="21" t="e">
        <f>BHU_Cost!#REF!</f>
        <v>#REF!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Z21"/>
  <sheetViews>
    <sheetView showGridLines="0" zoomScaleNormal="100" workbookViewId="0">
      <selection activeCell="E18" sqref="E18"/>
    </sheetView>
  </sheetViews>
  <sheetFormatPr defaultRowHeight="18.75" x14ac:dyDescent="0.3"/>
  <cols>
    <col min="1" max="1" width="9.140625" style="53"/>
    <col min="2" max="2" width="30.7109375" style="53" customWidth="1"/>
    <col min="3" max="4" width="14.5703125" style="53" bestFit="1" customWidth="1"/>
    <col min="5" max="5" width="70.5703125" style="53" customWidth="1"/>
    <col min="6" max="8" width="9.140625" style="53"/>
    <col min="9" max="9" width="9.140625" style="53" hidden="1" customWidth="1"/>
    <col min="10" max="14" width="14.5703125" style="53" hidden="1" customWidth="1"/>
    <col min="15" max="16" width="9.140625" style="53" hidden="1" customWidth="1"/>
    <col min="17" max="21" width="9.140625" style="53" customWidth="1"/>
    <col min="22" max="26" width="9.28515625" style="53" hidden="1" customWidth="1"/>
    <col min="27" max="31" width="9.140625" style="53" customWidth="1"/>
    <col min="32" max="16384" width="9.140625" style="53"/>
  </cols>
  <sheetData>
    <row r="2" spans="2:26" x14ac:dyDescent="0.3">
      <c r="B2" s="217" t="s">
        <v>643</v>
      </c>
      <c r="C2" s="218"/>
      <c r="D2" s="218"/>
      <c r="E2" s="218"/>
      <c r="J2" s="53">
        <f>pop_1</f>
        <v>10000</v>
      </c>
      <c r="K2" s="53">
        <f>pop_2</f>
        <v>15000</v>
      </c>
      <c r="L2" s="53">
        <f>pop_3</f>
        <v>20000</v>
      </c>
      <c r="M2" s="53">
        <f>Pop_4</f>
        <v>25000</v>
      </c>
      <c r="N2" s="53" t="e">
        <f>pop_5</f>
        <v>#REF!</v>
      </c>
    </row>
    <row r="3" spans="2:26" x14ac:dyDescent="0.3">
      <c r="B3" s="215" t="s">
        <v>638</v>
      </c>
      <c r="C3" s="217" t="s">
        <v>463</v>
      </c>
      <c r="D3" s="226"/>
      <c r="E3" s="215" t="s">
        <v>641</v>
      </c>
    </row>
    <row r="4" spans="2:26" x14ac:dyDescent="0.3">
      <c r="B4" s="216"/>
      <c r="C4" s="152" t="s">
        <v>639</v>
      </c>
      <c r="D4" s="152" t="s">
        <v>640</v>
      </c>
      <c r="E4" s="216"/>
    </row>
    <row r="5" spans="2:26" ht="37.5" x14ac:dyDescent="0.3">
      <c r="B5" s="56" t="s">
        <v>620</v>
      </c>
      <c r="C5" s="57">
        <f>Z5</f>
        <v>9585</v>
      </c>
      <c r="D5" s="57">
        <f>C5*12</f>
        <v>115020</v>
      </c>
      <c r="E5" s="58" t="s">
        <v>938</v>
      </c>
      <c r="J5" s="53">
        <f>J2*0.15</f>
        <v>1500</v>
      </c>
      <c r="K5" s="53">
        <f t="shared" ref="K5:N5" si="0">K2*0.15</f>
        <v>2250</v>
      </c>
      <c r="L5" s="53">
        <f t="shared" si="0"/>
        <v>3000</v>
      </c>
      <c r="M5" s="53">
        <f t="shared" si="0"/>
        <v>3750</v>
      </c>
      <c r="N5" s="53" t="e">
        <f t="shared" si="0"/>
        <v>#REF!</v>
      </c>
      <c r="V5" s="53">
        <f>SUM(Staff_cost!D4:D27)</f>
        <v>10</v>
      </c>
      <c r="W5" s="53">
        <f>V5/8</f>
        <v>1.25</v>
      </c>
      <c r="X5" s="53">
        <f>W5*21.3*24</f>
        <v>639</v>
      </c>
      <c r="Y5" s="53">
        <v>15</v>
      </c>
      <c r="Z5" s="53">
        <f>X5*Y5</f>
        <v>9585</v>
      </c>
    </row>
    <row r="6" spans="2:26" ht="37.5" x14ac:dyDescent="0.3">
      <c r="B6" s="56" t="s">
        <v>621</v>
      </c>
      <c r="C6" s="57">
        <f>1*4*25*5</f>
        <v>500</v>
      </c>
      <c r="D6" s="57">
        <f t="shared" ref="D6:D11" si="1">C6*12</f>
        <v>6000</v>
      </c>
      <c r="E6" s="59" t="s">
        <v>635</v>
      </c>
      <c r="J6" s="53">
        <f>J5*2*4</f>
        <v>12000</v>
      </c>
      <c r="K6" s="53">
        <f t="shared" ref="K6:N6" si="2">K5*2*4</f>
        <v>18000</v>
      </c>
      <c r="L6" s="53">
        <f t="shared" si="2"/>
        <v>24000</v>
      </c>
      <c r="M6" s="53">
        <f t="shared" si="2"/>
        <v>30000</v>
      </c>
      <c r="N6" s="53" t="e">
        <f t="shared" si="2"/>
        <v>#REF!</v>
      </c>
    </row>
    <row r="7" spans="2:26" x14ac:dyDescent="0.3">
      <c r="B7" s="56" t="s">
        <v>712</v>
      </c>
      <c r="C7" s="57">
        <v>2500</v>
      </c>
      <c r="D7" s="57">
        <f>C7*12</f>
        <v>30000</v>
      </c>
      <c r="E7" s="59" t="s">
        <v>637</v>
      </c>
      <c r="J7" s="126">
        <f>J6+$D$19</f>
        <v>337445.04761904763</v>
      </c>
      <c r="K7" s="126">
        <f t="shared" ref="K7:N7" si="3">K6+$D$19</f>
        <v>343445.04761904763</v>
      </c>
      <c r="L7" s="126">
        <f t="shared" si="3"/>
        <v>349445.04761904763</v>
      </c>
      <c r="M7" s="126">
        <f t="shared" si="3"/>
        <v>355445.04761904763</v>
      </c>
      <c r="N7" s="126" t="e">
        <f t="shared" si="3"/>
        <v>#REF!</v>
      </c>
    </row>
    <row r="8" spans="2:26" x14ac:dyDescent="0.3">
      <c r="B8" s="56" t="s">
        <v>622</v>
      </c>
      <c r="C8" s="57">
        <v>7500</v>
      </c>
      <c r="D8" s="57">
        <f t="shared" si="1"/>
        <v>90000</v>
      </c>
      <c r="E8" s="59" t="s">
        <v>636</v>
      </c>
    </row>
    <row r="9" spans="2:26" x14ac:dyDescent="0.3">
      <c r="B9" s="56" t="s">
        <v>624</v>
      </c>
      <c r="C9" s="57">
        <v>0</v>
      </c>
      <c r="D9" s="57">
        <f>C9*12</f>
        <v>0</v>
      </c>
      <c r="E9" s="59"/>
      <c r="J9" s="53">
        <f>J6*(1+perc_increase)</f>
        <v>13799.999999999998</v>
      </c>
      <c r="K9" s="53">
        <f>K6*(1+perc_increase)</f>
        <v>20700</v>
      </c>
      <c r="L9" s="53">
        <f>L6*(1+perc_increase)</f>
        <v>27599.999999999996</v>
      </c>
      <c r="M9" s="53">
        <f>M6*(1+perc_increase)</f>
        <v>34500</v>
      </c>
      <c r="N9" s="53" t="e">
        <f>N6*(1+perc_increase)</f>
        <v>#REF!</v>
      </c>
    </row>
    <row r="10" spans="2:26" x14ac:dyDescent="0.3">
      <c r="B10" s="56" t="s">
        <v>626</v>
      </c>
      <c r="C10" s="57">
        <f>D10/12</f>
        <v>833.33333333333337</v>
      </c>
      <c r="D10" s="57">
        <f>Equipment!L188</f>
        <v>10000</v>
      </c>
      <c r="E10" s="59" t="s">
        <v>940</v>
      </c>
      <c r="J10" s="53">
        <f>J9/J2</f>
        <v>1.38</v>
      </c>
      <c r="K10" s="53">
        <f t="shared" ref="K10:N10" si="4">K9/K2</f>
        <v>1.38</v>
      </c>
      <c r="L10" s="53">
        <f t="shared" si="4"/>
        <v>1.38</v>
      </c>
      <c r="M10" s="53">
        <f t="shared" si="4"/>
        <v>1.38</v>
      </c>
      <c r="N10" s="53" t="e">
        <f t="shared" si="4"/>
        <v>#REF!</v>
      </c>
    </row>
    <row r="11" spans="2:26" x14ac:dyDescent="0.3">
      <c r="B11" s="56" t="s">
        <v>623</v>
      </c>
      <c r="C11" s="57">
        <f>C8*10%</f>
        <v>750</v>
      </c>
      <c r="D11" s="57">
        <f t="shared" si="1"/>
        <v>9000</v>
      </c>
      <c r="E11" s="59" t="s">
        <v>964</v>
      </c>
      <c r="J11" s="53">
        <f>J6/J2</f>
        <v>1.2</v>
      </c>
      <c r="K11" s="53">
        <f t="shared" ref="K11:N11" si="5">K6/K2</f>
        <v>1.2</v>
      </c>
      <c r="L11" s="53">
        <f t="shared" si="5"/>
        <v>1.2</v>
      </c>
      <c r="M11" s="53">
        <f t="shared" si="5"/>
        <v>1.2</v>
      </c>
      <c r="N11" s="53" t="e">
        <f t="shared" si="5"/>
        <v>#REF!</v>
      </c>
    </row>
    <row r="12" spans="2:26" x14ac:dyDescent="0.3">
      <c r="B12" s="56" t="s">
        <v>625</v>
      </c>
      <c r="C12" s="57">
        <f>D12/12</f>
        <v>0</v>
      </c>
      <c r="D12" s="57">
        <v>0</v>
      </c>
      <c r="E12" s="59"/>
    </row>
    <row r="13" spans="2:26" x14ac:dyDescent="0.3">
      <c r="B13" s="56" t="s">
        <v>648</v>
      </c>
      <c r="C13" s="57">
        <f>D13/12</f>
        <v>1325.3478835978838</v>
      </c>
      <c r="D13" s="57">
        <f>Equipment!L189*0.2</f>
        <v>15904.174603174604</v>
      </c>
      <c r="E13" s="59" t="s">
        <v>971</v>
      </c>
    </row>
    <row r="14" spans="2:26" x14ac:dyDescent="0.3">
      <c r="B14" s="56" t="s">
        <v>628</v>
      </c>
      <c r="C14" s="57">
        <f>D14/12</f>
        <v>6626.7394179894181</v>
      </c>
      <c r="D14" s="57">
        <f>Equipment!L189</f>
        <v>79520.873015873018</v>
      </c>
      <c r="E14" s="47" t="s">
        <v>939</v>
      </c>
    </row>
    <row r="15" spans="2:26" x14ac:dyDescent="0.3">
      <c r="B15" s="152"/>
      <c r="C15" s="151">
        <f>SUM(C5:C14)</f>
        <v>29620.420634920632</v>
      </c>
      <c r="D15" s="151">
        <f>SUM(D5:D14)</f>
        <v>355445.04761904763</v>
      </c>
      <c r="E15" s="152"/>
    </row>
    <row r="17" spans="2:4" x14ac:dyDescent="0.3">
      <c r="B17" s="234" t="s">
        <v>642</v>
      </c>
      <c r="C17" s="235"/>
      <c r="D17" s="193">
        <f>D15/(Staff_cost!F30+Staff_cost!F31)</f>
        <v>0.1364211920768629</v>
      </c>
    </row>
    <row r="18" spans="2:4" x14ac:dyDescent="0.3">
      <c r="D18" s="210"/>
    </row>
    <row r="19" spans="2:4" hidden="1" x14ac:dyDescent="0.3">
      <c r="B19" s="53" t="s">
        <v>736</v>
      </c>
      <c r="D19" s="126">
        <f>D15-D7</f>
        <v>325445.04761904763</v>
      </c>
    </row>
    <row r="21" spans="2:4" x14ac:dyDescent="0.3">
      <c r="D21" s="126"/>
    </row>
  </sheetData>
  <sheetProtection algorithmName="SHA-512" hashValue="COruBwZq+u2UA3Su7GXWFi+fXHozlZIQpxfrJE9osdXFm7Ckfbhja07McieKuqhGnDxdqy+EC1fP43So8X9RgQ==" saltValue="sfN45KtN2PCeDtXwjRQz9A==" spinCount="100000" sheet="1" objects="1" scenarios="1" formatCells="0" formatColumns="0" formatRows="0" insertColumns="0" insertRows="0" insertHyperlinks="0" deleteColumns="0" deleteRows="0" sort="0" autoFilter="0" pivotTables="0"/>
  <mergeCells count="5">
    <mergeCell ref="B17:C17"/>
    <mergeCell ref="B2:E2"/>
    <mergeCell ref="E3:E4"/>
    <mergeCell ref="C3:D3"/>
    <mergeCell ref="B3:B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J53"/>
  <sheetViews>
    <sheetView showGridLines="0" zoomScale="115" zoomScaleNormal="115" workbookViewId="0">
      <selection activeCell="F14" sqref="F14 J14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5" width="9.85546875" style="63" customWidth="1"/>
    <col min="6" max="6" width="9.140625" style="63"/>
    <col min="7" max="7" width="9.85546875" style="63" customWidth="1"/>
    <col min="8" max="8" width="13.85546875" style="63" customWidth="1"/>
    <col min="9" max="9" width="9.140625" style="63"/>
    <col min="10" max="10" width="0" style="63" hidden="1" customWidth="1"/>
    <col min="11" max="16384" width="9.140625" style="63"/>
  </cols>
  <sheetData>
    <row r="1" spans="2:10" x14ac:dyDescent="0.25">
      <c r="B1" s="62" t="s">
        <v>302</v>
      </c>
    </row>
    <row r="3" spans="2:10" ht="15.75" x14ac:dyDescent="0.25">
      <c r="B3" s="236" t="s">
        <v>161</v>
      </c>
      <c r="C3" s="236"/>
      <c r="D3" s="236"/>
      <c r="E3" s="236"/>
      <c r="F3" s="236"/>
      <c r="G3" s="236"/>
      <c r="H3" s="236"/>
    </row>
    <row r="4" spans="2:10" ht="15" customHeight="1" x14ac:dyDescent="0.25">
      <c r="B4" s="237" t="s">
        <v>0</v>
      </c>
      <c r="C4" s="239" t="s">
        <v>5</v>
      </c>
      <c r="D4" s="239"/>
      <c r="E4" s="239" t="s">
        <v>6</v>
      </c>
      <c r="F4" s="239" t="s">
        <v>3</v>
      </c>
      <c r="G4" s="239"/>
      <c r="H4" s="239" t="s">
        <v>9</v>
      </c>
    </row>
    <row r="5" spans="2:10" x14ac:dyDescent="0.25">
      <c r="B5" s="238"/>
      <c r="C5" s="184" t="s">
        <v>4</v>
      </c>
      <c r="D5" s="184" t="s">
        <v>7</v>
      </c>
      <c r="E5" s="239"/>
      <c r="F5" s="184" t="s">
        <v>8</v>
      </c>
      <c r="G5" s="184" t="s">
        <v>2</v>
      </c>
      <c r="H5" s="239"/>
    </row>
    <row r="6" spans="2:10" x14ac:dyDescent="0.25">
      <c r="B6" s="72" t="s">
        <v>18</v>
      </c>
      <c r="C6" s="67">
        <v>2</v>
      </c>
      <c r="D6" s="67">
        <v>1</v>
      </c>
      <c r="E6" s="67">
        <v>1</v>
      </c>
      <c r="F6" s="67">
        <f>C6*D6*E6</f>
        <v>2</v>
      </c>
      <c r="G6" s="68">
        <f>IF(F6=0,"",(VLOOKUP($B$6:$B$15,Drugs_list!$C$9:$K$172,7,FALSE)))</f>
        <v>10.44</v>
      </c>
      <c r="H6" s="68">
        <f>IF(F6=0,"",(F6*G6))</f>
        <v>20.88</v>
      </c>
      <c r="J6" s="63" t="str">
        <f>VLOOKUP($B$6:$B$15,Drugs_list!$C$9:$K$172,9,FALSE)</f>
        <v>1dose</v>
      </c>
    </row>
    <row r="7" spans="2:10" x14ac:dyDescent="0.25">
      <c r="B7" s="72" t="s">
        <v>299</v>
      </c>
      <c r="C7" s="67">
        <f>30*6</f>
        <v>180</v>
      </c>
      <c r="D7" s="67">
        <v>1</v>
      </c>
      <c r="E7" s="67">
        <v>1</v>
      </c>
      <c r="F7" s="67">
        <f t="shared" ref="F7:F15" si="0">C7*D7*E7</f>
        <v>180</v>
      </c>
      <c r="G7" s="68">
        <f>IF(F7=0,"",(VLOOKUP($B$6:$B$15,Drugs_list!$C$9:$K$172,7,FALSE)))</f>
        <v>1.8560000000000001</v>
      </c>
      <c r="H7" s="68">
        <f t="shared" ref="H7:H15" si="1">IF(F7=0,"",(F7*G7))</f>
        <v>334.08000000000004</v>
      </c>
      <c r="J7" s="63" t="str">
        <f>VLOOKUP($B$6:$B$15,Drugs_list!$C$9:$K$172,9,FALSE)</f>
        <v>1capsule</v>
      </c>
    </row>
    <row r="8" spans="2:10" x14ac:dyDescent="0.25">
      <c r="B8" s="72" t="s">
        <v>335</v>
      </c>
      <c r="C8" s="67">
        <v>90</v>
      </c>
      <c r="D8" s="67">
        <v>1</v>
      </c>
      <c r="E8" s="67">
        <v>1</v>
      </c>
      <c r="F8" s="67">
        <f t="shared" si="0"/>
        <v>90</v>
      </c>
      <c r="G8" s="68">
        <f>IF(F8=0,"",(VLOOKUP($B$6:$B$15,Drugs_list!$C$9:$K$172,7,FALSE)))</f>
        <v>0.90480000000000005</v>
      </c>
      <c r="H8" s="68">
        <f t="shared" si="1"/>
        <v>81.432000000000002</v>
      </c>
      <c r="J8" s="63" t="str">
        <f>VLOOKUP($B$6:$B$15,Drugs_list!$C$9:$K$172,9,FALSE)</f>
        <v>1tab</v>
      </c>
    </row>
    <row r="9" spans="2:10" x14ac:dyDescent="0.25">
      <c r="B9" s="72" t="s">
        <v>399</v>
      </c>
      <c r="C9" s="67">
        <v>1</v>
      </c>
      <c r="D9" s="67">
        <v>1</v>
      </c>
      <c r="E9" s="67">
        <v>5</v>
      </c>
      <c r="F9" s="67">
        <f t="shared" si="0"/>
        <v>5</v>
      </c>
      <c r="G9" s="68">
        <f>IF(F9=0,"",(VLOOKUP($B$6:$B$15,Drugs_list!$C$9:$K$172,7,FALSE)))</f>
        <v>0.39672000000000002</v>
      </c>
      <c r="H9" s="68">
        <f t="shared" si="1"/>
        <v>1.9836</v>
      </c>
      <c r="J9" s="63" t="str">
        <f>VLOOKUP($B$6:$B$15,Drugs_list!$C$9:$K$172,9,FALSE)</f>
        <v>1tab</v>
      </c>
    </row>
    <row r="10" spans="2:10" x14ac:dyDescent="0.25">
      <c r="B10" s="72"/>
      <c r="C10" s="67"/>
      <c r="D10" s="67"/>
      <c r="E10" s="67"/>
      <c r="F10" s="67">
        <f t="shared" si="0"/>
        <v>0</v>
      </c>
      <c r="G10" s="68" t="str">
        <f>IF(F10=0,"",(VLOOKUP($B$6:$B$15,Drugs_list!$C$9:$K$172,7,FALSE)))</f>
        <v/>
      </c>
      <c r="H10" s="68" t="str">
        <f t="shared" si="1"/>
        <v/>
      </c>
      <c r="J10" s="63" t="e">
        <f>VLOOKUP($B$6:$B$15,Drugs_list!$C$9:$K$172,9,FALSE)</f>
        <v>#N/A</v>
      </c>
    </row>
    <row r="11" spans="2:10" x14ac:dyDescent="0.25">
      <c r="B11" s="72"/>
      <c r="C11" s="67"/>
      <c r="D11" s="67"/>
      <c r="E11" s="67"/>
      <c r="F11" s="67">
        <f t="shared" si="0"/>
        <v>0</v>
      </c>
      <c r="G11" s="68" t="str">
        <f>IF(F11=0,"",(VLOOKUP($B$6:$B$15,Drugs_list!$C$9:$K$172,7,FALSE)))</f>
        <v/>
      </c>
      <c r="H11" s="68" t="str">
        <f t="shared" si="1"/>
        <v/>
      </c>
      <c r="J11" s="63" t="e">
        <f>VLOOKUP($B$6:$B$15,Drugs_list!$C$9:$K$172,9,FALSE)</f>
        <v>#N/A</v>
      </c>
    </row>
    <row r="12" spans="2:10" x14ac:dyDescent="0.25">
      <c r="B12" s="72"/>
      <c r="C12" s="67"/>
      <c r="D12" s="67"/>
      <c r="E12" s="67"/>
      <c r="F12" s="67">
        <f t="shared" si="0"/>
        <v>0</v>
      </c>
      <c r="G12" s="68" t="str">
        <f>IF(F12=0,"",(VLOOKUP($B$6:$B$15,Drugs_list!$C$9:$K$172,7,FALSE)))</f>
        <v/>
      </c>
      <c r="H12" s="68" t="str">
        <f t="shared" si="1"/>
        <v/>
      </c>
      <c r="J12" s="63" t="e">
        <f>VLOOKUP($B$6:$B$15,Drugs_list!$C$9:$K$172,9,FALSE)</f>
        <v>#N/A</v>
      </c>
    </row>
    <row r="13" spans="2:10" x14ac:dyDescent="0.25">
      <c r="B13" s="72"/>
      <c r="C13" s="67"/>
      <c r="D13" s="67"/>
      <c r="E13" s="67"/>
      <c r="F13" s="67">
        <f t="shared" si="0"/>
        <v>0</v>
      </c>
      <c r="G13" s="68" t="str">
        <f>IF(F13=0,"",(VLOOKUP($B$6:$B$15,Drugs_list!$C$9:$K$172,7,FALSE)))</f>
        <v/>
      </c>
      <c r="H13" s="68" t="str">
        <f t="shared" si="1"/>
        <v/>
      </c>
      <c r="J13" s="63" t="e">
        <f>VLOOKUP($B$6:$B$15,Drugs_list!$C$9:$K$172,9,FALSE)</f>
        <v>#N/A</v>
      </c>
    </row>
    <row r="14" spans="2:10" x14ac:dyDescent="0.25">
      <c r="B14" s="72"/>
      <c r="C14" s="67"/>
      <c r="D14" s="67"/>
      <c r="E14" s="67"/>
      <c r="F14" s="67">
        <f t="shared" si="0"/>
        <v>0</v>
      </c>
      <c r="G14" s="68" t="str">
        <f>IF(F14=0,"",(VLOOKUP($B$6:$B$15,Drugs_list!$C$9:$K$172,7,FALSE)))</f>
        <v/>
      </c>
      <c r="H14" s="68" t="str">
        <f t="shared" si="1"/>
        <v/>
      </c>
      <c r="J14" s="63" t="e">
        <f>VLOOKUP($B$6:$B$15,Drugs_list!$C$9:$K$172,9,FALSE)</f>
        <v>#N/A</v>
      </c>
    </row>
    <row r="15" spans="2:10" x14ac:dyDescent="0.25">
      <c r="B15" s="72"/>
      <c r="C15" s="67"/>
      <c r="D15" s="67"/>
      <c r="E15" s="67"/>
      <c r="F15" s="67">
        <f t="shared" si="0"/>
        <v>0</v>
      </c>
      <c r="G15" s="68" t="str">
        <f>IF(F15=0,"",(VLOOKUP($B$6:$B$15,Drugs_list!$C$9:$K$172,7,FALSE)))</f>
        <v/>
      </c>
      <c r="H15" s="68" t="str">
        <f t="shared" si="1"/>
        <v/>
      </c>
      <c r="J15" s="63" t="e">
        <f>VLOOKUP($B$6:$B$15,Drugs_list!$C$9:$K$172,9,FALSE)</f>
        <v>#N/A</v>
      </c>
    </row>
    <row r="16" spans="2:10" x14ac:dyDescent="0.25">
      <c r="B16" s="186" t="s">
        <v>8</v>
      </c>
      <c r="C16" s="195"/>
      <c r="D16" s="195"/>
      <c r="E16" s="195"/>
      <c r="F16" s="195"/>
      <c r="G16" s="195"/>
      <c r="H16" s="187">
        <f>SUM(H6:H15)</f>
        <v>438.37560000000008</v>
      </c>
    </row>
    <row r="19" spans="2:5" ht="15.75" x14ac:dyDescent="0.25">
      <c r="B19" s="196" t="s">
        <v>162</v>
      </c>
      <c r="C19" s="196"/>
      <c r="D19" s="196"/>
      <c r="E19" s="196"/>
    </row>
    <row r="20" spans="2:5" ht="15" customHeight="1" x14ac:dyDescent="0.25">
      <c r="B20" s="197" t="s">
        <v>0</v>
      </c>
      <c r="C20" s="184" t="s">
        <v>1</v>
      </c>
      <c r="D20" s="184" t="s">
        <v>159</v>
      </c>
      <c r="E20" s="184" t="s">
        <v>160</v>
      </c>
    </row>
    <row r="21" spans="2:5" x14ac:dyDescent="0.25">
      <c r="B21" s="72" t="s">
        <v>148</v>
      </c>
      <c r="C21" s="67">
        <v>8</v>
      </c>
      <c r="D21" s="67">
        <f>IF(C21="","",(VLOOKUP($B$21:$B$30,Supplies_list!$C$8:$G$64,5,FALSE)))</f>
        <v>3.3</v>
      </c>
      <c r="E21" s="67">
        <f>IF(C21=0,"",(C21*D21))</f>
        <v>26.4</v>
      </c>
    </row>
    <row r="22" spans="2:5" x14ac:dyDescent="0.25">
      <c r="B22" s="72" t="s">
        <v>798</v>
      </c>
      <c r="C22" s="67">
        <v>4</v>
      </c>
      <c r="D22" s="67">
        <f>IF(C22="","",(VLOOKUP($B$21:$B$30,Supplies_list!$C$8:$G$64,5,FALSE)))</f>
        <v>3.4980000000000002</v>
      </c>
      <c r="E22" s="67">
        <f t="shared" ref="E22:E30" si="2">IF(C22=0,"",(C22*D22))</f>
        <v>13.992000000000001</v>
      </c>
    </row>
    <row r="23" spans="2:5" x14ac:dyDescent="0.25">
      <c r="B23" s="72" t="s">
        <v>301</v>
      </c>
      <c r="C23" s="67">
        <v>1</v>
      </c>
      <c r="D23" s="67">
        <f>IF(C23="","",(VLOOKUP($B$21:$B$30,Supplies_list!$C$8:$G$64,5,FALSE)))</f>
        <v>4.4000000000000004</v>
      </c>
      <c r="E23" s="67">
        <f t="shared" si="2"/>
        <v>4.4000000000000004</v>
      </c>
    </row>
    <row r="24" spans="2:5" x14ac:dyDescent="0.25">
      <c r="B24" s="72" t="s">
        <v>483</v>
      </c>
      <c r="C24" s="67">
        <v>4</v>
      </c>
      <c r="D24" s="67">
        <f>IF(C24="","",(VLOOKUP($B$21:$B$30,Supplies_list!$C$8:$G$64,5,FALSE)))</f>
        <v>4.4219999999999997</v>
      </c>
      <c r="E24" s="67">
        <f t="shared" si="2"/>
        <v>17.687999999999999</v>
      </c>
    </row>
    <row r="25" spans="2:5" x14ac:dyDescent="0.25">
      <c r="B25" s="72"/>
      <c r="C25" s="67"/>
      <c r="D25" s="67" t="str">
        <f>IF(C25="","",(VLOOKUP($B$21:$B$30,Supplies_list!$C$8:$G$64,5,FALSE)))</f>
        <v/>
      </c>
      <c r="E25" s="67" t="str">
        <f t="shared" si="2"/>
        <v/>
      </c>
    </row>
    <row r="26" spans="2:5" x14ac:dyDescent="0.25">
      <c r="B26" s="72"/>
      <c r="C26" s="67"/>
      <c r="D26" s="67" t="str">
        <f>IF(C26="","",(VLOOKUP($B$21:$B$30,Supplies_list!$C$8:$G$64,5,FALSE)))</f>
        <v/>
      </c>
      <c r="E26" s="67" t="str">
        <f t="shared" si="2"/>
        <v/>
      </c>
    </row>
    <row r="27" spans="2:5" x14ac:dyDescent="0.25">
      <c r="B27" s="72"/>
      <c r="C27" s="67"/>
      <c r="D27" s="67" t="str">
        <f>IF(C27="","",(VLOOKUP($B$21:$B$30,Supplies_list!$C$8:$G$64,5,FALSE)))</f>
        <v/>
      </c>
      <c r="E27" s="67" t="str">
        <f t="shared" si="2"/>
        <v/>
      </c>
    </row>
    <row r="28" spans="2:5" x14ac:dyDescent="0.25">
      <c r="B28" s="72"/>
      <c r="C28" s="67"/>
      <c r="D28" s="67" t="str">
        <f>IF(C28="","",(VLOOKUP($B$21:$B$30,Supplies_list!$C$8:$G$64,5,FALSE)))</f>
        <v/>
      </c>
      <c r="E28" s="67" t="str">
        <f t="shared" si="2"/>
        <v/>
      </c>
    </row>
    <row r="29" spans="2:5" x14ac:dyDescent="0.25">
      <c r="B29" s="72"/>
      <c r="C29" s="67"/>
      <c r="D29" s="67" t="str">
        <f>IF(C29="","",(VLOOKUP($B$21:$B$30,Supplies_list!$C$8:$G$64,5,FALSE)))</f>
        <v/>
      </c>
      <c r="E29" s="67" t="str">
        <f t="shared" si="2"/>
        <v/>
      </c>
    </row>
    <row r="30" spans="2:5" x14ac:dyDescent="0.25">
      <c r="B30" s="72"/>
      <c r="C30" s="67"/>
      <c r="D30" s="67" t="str">
        <f>IF(C30="","",(VLOOKUP($B$21:$B$30,Supplies_list!$C$8:$G$64,5,FALSE)))</f>
        <v/>
      </c>
      <c r="E30" s="67" t="str">
        <f t="shared" si="2"/>
        <v/>
      </c>
    </row>
    <row r="31" spans="2:5" x14ac:dyDescent="0.25">
      <c r="B31" s="186" t="s">
        <v>8</v>
      </c>
      <c r="C31" s="195"/>
      <c r="D31" s="195"/>
      <c r="E31" s="187">
        <f>SUM(E21:E30)</f>
        <v>62.47999999999999</v>
      </c>
    </row>
    <row r="35" spans="2:5" ht="15.75" x14ac:dyDescent="0.25">
      <c r="B35" s="196" t="s">
        <v>163</v>
      </c>
      <c r="C35" s="196"/>
      <c r="D35" s="196"/>
      <c r="E35" s="196"/>
    </row>
    <row r="36" spans="2:5" x14ac:dyDescent="0.25">
      <c r="B36" s="186" t="s">
        <v>0</v>
      </c>
      <c r="C36" s="184" t="s">
        <v>1</v>
      </c>
      <c r="D36" s="184" t="s">
        <v>159</v>
      </c>
      <c r="E36" s="184" t="s">
        <v>160</v>
      </c>
    </row>
    <row r="37" spans="2:5" x14ac:dyDescent="0.25">
      <c r="B37" s="72"/>
      <c r="C37" s="67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72"/>
      <c r="C38" s="67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72"/>
      <c r="C39" s="67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72"/>
      <c r="C40" s="67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72" t="s">
        <v>210</v>
      </c>
      <c r="C41" s="67">
        <v>1</v>
      </c>
      <c r="D41" s="67">
        <f>IF(B41="","",(VLOOKUP($B$37:$B$46,Lab_tests!$H$6:$I$47,2,FALSE)))</f>
        <v>5</v>
      </c>
      <c r="E41" s="67">
        <f t="shared" si="3"/>
        <v>5</v>
      </c>
    </row>
    <row r="42" spans="2:5" x14ac:dyDescent="0.25">
      <c r="B42" s="72"/>
      <c r="C42" s="67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72"/>
      <c r="C43" s="67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72"/>
      <c r="C44" s="67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72"/>
      <c r="C45" s="67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72"/>
      <c r="C46" s="67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SUM(E37:E46)</f>
        <v>5</v>
      </c>
    </row>
    <row r="49" spans="2:3" x14ac:dyDescent="0.25">
      <c r="B49" s="186" t="s">
        <v>0</v>
      </c>
      <c r="C49" s="184" t="s">
        <v>160</v>
      </c>
    </row>
    <row r="50" spans="2:3" x14ac:dyDescent="0.25">
      <c r="B50" s="72" t="s">
        <v>504</v>
      </c>
      <c r="C50" s="73">
        <f>ab</f>
        <v>438.37560000000008</v>
      </c>
    </row>
    <row r="51" spans="2:3" x14ac:dyDescent="0.25">
      <c r="B51" s="72" t="s">
        <v>147</v>
      </c>
      <c r="C51" s="73">
        <f>E31</f>
        <v>62.47999999999999</v>
      </c>
    </row>
    <row r="52" spans="2:3" x14ac:dyDescent="0.25">
      <c r="B52" s="72" t="s">
        <v>596</v>
      </c>
      <c r="C52" s="73">
        <f>E47</f>
        <v>5</v>
      </c>
    </row>
    <row r="53" spans="2:3" x14ac:dyDescent="0.25">
      <c r="B53" s="186" t="s">
        <v>8</v>
      </c>
      <c r="C53" s="198">
        <f>SUM(C50:C52)</f>
        <v>505.85560000000009</v>
      </c>
    </row>
  </sheetData>
  <mergeCells count="6">
    <mergeCell ref="B3:H3"/>
    <mergeCell ref="B4:B5"/>
    <mergeCell ref="C4:D4"/>
    <mergeCell ref="E4:E5"/>
    <mergeCell ref="F4:G4"/>
    <mergeCell ref="H4:H5"/>
  </mergeCells>
  <pageMargins left="0.25" right="0.25" top="0.75" bottom="0.75" header="0.3" footer="0.3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32</vt:i4>
      </vt:variant>
    </vt:vector>
  </HeadingPairs>
  <TitlesOfParts>
    <vt:vector size="83" baseType="lpstr">
      <vt:lpstr>Title</vt:lpstr>
      <vt:lpstr>BHU_Cost</vt:lpstr>
      <vt:lpstr>Summary_Intervention</vt:lpstr>
      <vt:lpstr>Pricing</vt:lpstr>
      <vt:lpstr>Pricing_2</vt:lpstr>
      <vt:lpstr>Financing</vt:lpstr>
      <vt:lpstr>Sheet2</vt:lpstr>
      <vt:lpstr>Operating_Exp</vt:lpstr>
      <vt:lpstr>1.ANC</vt:lpstr>
      <vt:lpstr>2.Delivery</vt:lpstr>
      <vt:lpstr>Delivery_Assisted</vt:lpstr>
      <vt:lpstr>3.Post_partum</vt:lpstr>
      <vt:lpstr>4.Newborn_care</vt:lpstr>
      <vt:lpstr>5.Child_pneumonia</vt:lpstr>
      <vt:lpstr>6.Child_Wheeze</vt:lpstr>
      <vt:lpstr>7.Child_ear</vt:lpstr>
      <vt:lpstr>8.Child_diarh_nodehy</vt:lpstr>
      <vt:lpstr>9.Child_diarh_some_dehyd</vt:lpstr>
      <vt:lpstr>10.Child_Dys</vt:lpstr>
      <vt:lpstr>11.Immunisation</vt:lpstr>
      <vt:lpstr>11.Child_Fever</vt:lpstr>
      <vt:lpstr>12.FP_condoms</vt:lpstr>
      <vt:lpstr>13.FP_Oral</vt:lpstr>
      <vt:lpstr>14.FP_Inject</vt:lpstr>
      <vt:lpstr>15.FP_IUD</vt:lpstr>
      <vt:lpstr>16.ECM_Cold</vt:lpstr>
      <vt:lpstr>17.ECM_Brn</vt:lpstr>
      <vt:lpstr>18.ECM_Pneu</vt:lpstr>
      <vt:lpstr>19.ECM_GI</vt:lpstr>
      <vt:lpstr>20.ECM_TB_Diag</vt:lpstr>
      <vt:lpstr>21.ECM_TB_treat</vt:lpstr>
      <vt:lpstr>22.ECM_Malaria</vt:lpstr>
      <vt:lpstr>23.ECM_Typhoid</vt:lpstr>
      <vt:lpstr>24.ECM_STIs</vt:lpstr>
      <vt:lpstr>25.ECM_Trachoma</vt:lpstr>
      <vt:lpstr>26.ECM_UTI</vt:lpstr>
      <vt:lpstr>27.Nut_VitA</vt:lpstr>
      <vt:lpstr>28.Nut_MMS</vt:lpstr>
      <vt:lpstr>HR_Intervention</vt:lpstr>
      <vt:lpstr>Standard_temp</vt:lpstr>
      <vt:lpstr>HR_time</vt:lpstr>
      <vt:lpstr>Salary_cost_intervention</vt:lpstr>
      <vt:lpstr>Drugs_list</vt:lpstr>
      <vt:lpstr>Supplies_list</vt:lpstr>
      <vt:lpstr>Lab_tests</vt:lpstr>
      <vt:lpstr>Staff_cost</vt:lpstr>
      <vt:lpstr>Pay_scale</vt:lpstr>
      <vt:lpstr>Sheet1</vt:lpstr>
      <vt:lpstr>Basic_demo</vt:lpstr>
      <vt:lpstr>Equipment</vt:lpstr>
      <vt:lpstr>Capacity</vt:lpstr>
      <vt:lpstr>a15pop</vt:lpstr>
      <vt:lpstr>aa</vt:lpstr>
      <vt:lpstr>ab</vt:lpstr>
      <vt:lpstr>above15_pop</vt:lpstr>
      <vt:lpstr>above5_pop</vt:lpstr>
      <vt:lpstr>apop</vt:lpstr>
      <vt:lpstr>buffer_stock</vt:lpstr>
      <vt:lpstr>child23_pop</vt:lpstr>
      <vt:lpstr>eco_scale</vt:lpstr>
      <vt:lpstr>epreg</vt:lpstr>
      <vt:lpstr>ex_usd</vt:lpstr>
      <vt:lpstr>fpop</vt:lpstr>
      <vt:lpstr>gpop</vt:lpstr>
      <vt:lpstr>Basic_demo!HFN</vt:lpstr>
      <vt:lpstr>indirect_sal</vt:lpstr>
      <vt:lpstr>lb_pop</vt:lpstr>
      <vt:lpstr>mpop</vt:lpstr>
      <vt:lpstr>Basic_demo!mwra</vt:lpstr>
      <vt:lpstr>mwra_pop</vt:lpstr>
      <vt:lpstr>perc_increase</vt:lpstr>
      <vt:lpstr>pop_1</vt:lpstr>
      <vt:lpstr>pop_2</vt:lpstr>
      <vt:lpstr>pop_3</vt:lpstr>
      <vt:lpstr>Pop_4</vt:lpstr>
      <vt:lpstr>preg_pop</vt:lpstr>
      <vt:lpstr>'1.ANC'!Print_Area</vt:lpstr>
      <vt:lpstr>'3.Post_partum'!Print_Area</vt:lpstr>
      <vt:lpstr>rhc</vt:lpstr>
      <vt:lpstr>u5_pop</vt:lpstr>
      <vt:lpstr>upop</vt:lpstr>
      <vt:lpstr>Basic_demo!ur</vt:lpstr>
      <vt:lpstr>wra</vt:lpstr>
    </vt:vector>
  </TitlesOfParts>
  <Manager>Afeef Mahmood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Costing of Essential Services Package KPK</dc:title>
  <dc:creator>Afeef Mahmood</dc:creator>
  <cp:lastModifiedBy>Afeef Mahmood</cp:lastModifiedBy>
  <cp:lastPrinted>2012-12-25T09:37:06Z</cp:lastPrinted>
  <dcterms:created xsi:type="dcterms:W3CDTF">2012-07-16T11:44:08Z</dcterms:created>
  <dcterms:modified xsi:type="dcterms:W3CDTF">2014-01-22T20:10:30Z</dcterms:modified>
</cp:coreProperties>
</file>