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ef Mahmood\Documents\My Docs\Projects\DFID\Technical Resource Facility\Costing Essential Health Package (Sindh)\Costing\Draft 2_Locked versions\"/>
    </mc:Choice>
  </mc:AlternateContent>
  <workbookProtection workbookAlgorithmName="SHA-512" workbookHashValue="yjux/zcIjen959YJ23YcX/ICSF1LjhS4sEiXxH2AZrgby1M4J7r3tqzmeTKbspEQk0HDGCAucOrpa+sJLoah2Q==" workbookSaltValue="W1y9AD7BXDjtUUIRavh+LA==" workbookSpinCount="100000" lockStructure="1"/>
  <bookViews>
    <workbookView xWindow="120" yWindow="1245" windowWidth="7635" windowHeight="6600" tabRatio="968"/>
  </bookViews>
  <sheets>
    <sheet name="Title" sheetId="58" r:id="rId1"/>
    <sheet name="BHU_Cost" sheetId="50" state="hidden" r:id="rId2"/>
    <sheet name="Summary_Intervention" sheetId="47" r:id="rId3"/>
    <sheet name="Pricing_2" sheetId="56" state="hidden" r:id="rId4"/>
    <sheet name="Sheet2" sheetId="54" state="hidden" r:id="rId5"/>
    <sheet name="Operating_Exp" sheetId="49" r:id="rId6"/>
    <sheet name="1.ANC" sheetId="13" r:id="rId7"/>
    <sheet name="Delivery_Assisted" sheetId="18" state="hidden" r:id="rId8"/>
    <sheet name="3.Post_partum" sheetId="19" r:id="rId9"/>
    <sheet name="5.Child_pneumonia" sheetId="22" state="hidden" r:id="rId10"/>
    <sheet name="8.Child_diarh_nodehy" sheetId="25" r:id="rId11"/>
    <sheet name="9.Child_diarh_some_dehyd" sheetId="26" r:id="rId12"/>
    <sheet name="11.Immunisation" sheetId="29" r:id="rId13"/>
    <sheet name="11.Child_Fever" sheetId="28" r:id="rId14"/>
    <sheet name="12.FP_condoms" sheetId="30" r:id="rId15"/>
    <sheet name="13.FP_Oral" sheetId="31" r:id="rId16"/>
    <sheet name="14.FP_Inject" sheetId="32" r:id="rId17"/>
    <sheet name="16.ECM_Cold" sheetId="34" r:id="rId18"/>
    <sheet name="28.Nut_MMS" sheetId="61" state="hidden" r:id="rId19"/>
    <sheet name="HR_Intervention" sheetId="4" r:id="rId20"/>
    <sheet name="Standard_temp" sheetId="20" state="hidden" r:id="rId21"/>
    <sheet name="HR_time" sheetId="3" state="hidden" r:id="rId22"/>
    <sheet name="Salary_cost_intervention" sheetId="15" state="hidden" r:id="rId23"/>
    <sheet name="Drugs_list" sheetId="2" r:id="rId24"/>
    <sheet name="Supplies_list" sheetId="5" r:id="rId25"/>
    <sheet name="Lab_tests" sheetId="6" r:id="rId26"/>
    <sheet name="Staff_cost" sheetId="9" r:id="rId27"/>
    <sheet name="Pay_scale" sheetId="8" r:id="rId28"/>
    <sheet name="Basic_demo" sheetId="60" state="hidden" r:id="rId29"/>
    <sheet name="Equipment" sheetId="51" state="hidden" r:id="rId30"/>
  </sheets>
  <definedNames>
    <definedName name="_xlnm._FilterDatabase" localSheetId="18">Equipment!#REF!</definedName>
    <definedName name="_xlnm._FilterDatabase">Equipment!#REF!</definedName>
    <definedName name="a15pop">Basic_demo!$C$26</definedName>
    <definedName name="aa">BHU_Cost!$C$29</definedName>
    <definedName name="ab">'1.ANC'!$H$16</definedName>
    <definedName name="above15_pop">Basic_demo!$E$26</definedName>
    <definedName name="above5_pop">Basic_demo!$E$25</definedName>
    <definedName name="apop">Basic_demo!$C$25</definedName>
    <definedName name="buffer_stock">#REF!</definedName>
    <definedName name="child23_pop">Basic_demo!$E$21</definedName>
    <definedName name="eco_scale">BHU_Cost!$F$33</definedName>
    <definedName name="epreg">Basic_demo!$C$28</definedName>
    <definedName name="ex_usd">Summary_Intervention!$M$1</definedName>
    <definedName name="fem_pop" localSheetId="18">#REF!</definedName>
    <definedName name="fem_pop">#REF!</definedName>
    <definedName name="female_pop" localSheetId="18">#REF!</definedName>
    <definedName name="female_pop">#REF!</definedName>
    <definedName name="fpop">Basic_demo!$C$15</definedName>
    <definedName name="gpop">Basic_demo!$C$9</definedName>
    <definedName name="HFN" localSheetId="18">#REF!</definedName>
    <definedName name="HFN" localSheetId="28">Basic_demo!$B$4</definedName>
    <definedName name="HFN">#REF!</definedName>
    <definedName name="indirect_sal">Staff_cost!$F$32</definedName>
    <definedName name="lb_pop">Basic_demo!$E$23</definedName>
    <definedName name="male_pop" localSheetId="18">#REF!</definedName>
    <definedName name="male_pop">#REF!</definedName>
    <definedName name="mpop">Basic_demo!$C$14</definedName>
    <definedName name="Mwra" localSheetId="18">#REF!</definedName>
    <definedName name="mwra" localSheetId="28">Basic_demo!$C$18</definedName>
    <definedName name="Mwra">#REF!</definedName>
    <definedName name="mwra_pop">Basic_demo!$E$18</definedName>
    <definedName name="perc_increase">BHU_Cost!$E$33</definedName>
    <definedName name="pop_1">#REF!</definedName>
    <definedName name="pop_2">#REF!</definedName>
    <definedName name="pop_3">#REF!</definedName>
    <definedName name="Pop_4">#REF!</definedName>
    <definedName name="pop_5">#REF!</definedName>
    <definedName name="preg_pop">Basic_demo!$E$28</definedName>
    <definedName name="_xlnm.Print_Area" localSheetId="6">'1.ANC'!$B$1:$H$53</definedName>
    <definedName name="_xlnm.Print_Area" localSheetId="8">'3.Post_partum'!$B$1:$I$53</definedName>
    <definedName name="rhc">#REF!</definedName>
    <definedName name="rhc_pop" localSheetId="18">#REF!</definedName>
    <definedName name="rhc_pop">#REF!</definedName>
    <definedName name="u5_pop">Basic_demo!$E$20</definedName>
    <definedName name="upop">Basic_demo!$C$20</definedName>
    <definedName name="ur" localSheetId="18">#REF!</definedName>
    <definedName name="ur" localSheetId="28">Basic_demo!$B$2</definedName>
    <definedName name="ur">#REF!</definedName>
    <definedName name="wra">Basic_demo!$C$17</definedName>
    <definedName name="wra_pop" localSheetId="18">#REF!</definedName>
    <definedName name="wra_pop">#REF!</definedName>
  </definedNames>
  <calcPr calcId="152511"/>
</workbook>
</file>

<file path=xl/calcChain.xml><?xml version="1.0" encoding="utf-8"?>
<calcChain xmlns="http://schemas.openxmlformats.org/spreadsheetml/2006/main">
  <c r="N11" i="49" l="1"/>
  <c r="N14" i="49"/>
  <c r="N13" i="49"/>
  <c r="N15" i="49"/>
  <c r="N9" i="49" l="1"/>
  <c r="N8" i="49"/>
  <c r="N7" i="49"/>
  <c r="N6" i="49"/>
  <c r="N16" i="49" s="1"/>
  <c r="D7" i="49" s="1"/>
  <c r="D6" i="49"/>
  <c r="D22" i="4"/>
  <c r="D20" i="4"/>
  <c r="D18" i="4"/>
  <c r="I175" i="2" l="1"/>
  <c r="F46" i="61" l="1"/>
  <c r="E46" i="61"/>
  <c r="F45" i="61"/>
  <c r="E45" i="61"/>
  <c r="F44" i="61"/>
  <c r="E44" i="61"/>
  <c r="F43" i="61"/>
  <c r="E43" i="61"/>
  <c r="F42" i="61"/>
  <c r="E42" i="61"/>
  <c r="F41" i="61"/>
  <c r="E41" i="61"/>
  <c r="F40" i="61"/>
  <c r="E40" i="61"/>
  <c r="F39" i="61"/>
  <c r="E39" i="61"/>
  <c r="F38" i="61"/>
  <c r="E38" i="61"/>
  <c r="F37" i="61"/>
  <c r="F47" i="61" s="1"/>
  <c r="E37" i="61"/>
  <c r="F30" i="61"/>
  <c r="E30" i="61"/>
  <c r="F29" i="61"/>
  <c r="E29" i="61"/>
  <c r="F28" i="61"/>
  <c r="E28" i="61"/>
  <c r="F27" i="61"/>
  <c r="E27" i="61"/>
  <c r="F26" i="61"/>
  <c r="E26" i="61"/>
  <c r="F25" i="61"/>
  <c r="E25" i="61"/>
  <c r="F24" i="61"/>
  <c r="E24" i="61"/>
  <c r="F23" i="61"/>
  <c r="E23" i="61"/>
  <c r="F22" i="61"/>
  <c r="E22" i="61"/>
  <c r="F21" i="61"/>
  <c r="F31" i="61" s="1"/>
  <c r="E21" i="61"/>
  <c r="K15" i="61"/>
  <c r="G15" i="61"/>
  <c r="I15" i="61" s="1"/>
  <c r="K14" i="61"/>
  <c r="H14" i="61"/>
  <c r="G14" i="61"/>
  <c r="I14" i="61" s="1"/>
  <c r="K13" i="61"/>
  <c r="G13" i="61"/>
  <c r="H13" i="61" s="1"/>
  <c r="K12" i="61"/>
  <c r="I12" i="61"/>
  <c r="H12" i="61"/>
  <c r="G12" i="61"/>
  <c r="K11" i="61"/>
  <c r="G11" i="61"/>
  <c r="I11" i="61" s="1"/>
  <c r="K10" i="61"/>
  <c r="H10" i="61"/>
  <c r="G10" i="61"/>
  <c r="I10" i="61" s="1"/>
  <c r="K9" i="61"/>
  <c r="G9" i="61"/>
  <c r="I9" i="61" s="1"/>
  <c r="K8" i="61"/>
  <c r="H8" i="61"/>
  <c r="G8" i="61"/>
  <c r="I8" i="61" s="1"/>
  <c r="K7" i="61"/>
  <c r="G7" i="61"/>
  <c r="H7" i="61" s="1"/>
  <c r="G6" i="61"/>
  <c r="H11" i="61" l="1"/>
  <c r="I13" i="61"/>
  <c r="I7" i="61"/>
  <c r="H9" i="61"/>
  <c r="H15" i="61"/>
  <c r="B20" i="60" l="1"/>
  <c r="B21" i="60" s="1"/>
  <c r="C21" i="60" s="1"/>
  <c r="B9" i="60"/>
  <c r="B25" i="60" l="1"/>
  <c r="B26" i="60"/>
  <c r="C26" i="60" s="1"/>
  <c r="E26" i="60" s="1"/>
  <c r="B12" i="60"/>
  <c r="B44" i="60" s="1"/>
  <c r="B14" i="60"/>
  <c r="B15" i="60" s="1"/>
  <c r="B17" i="60" s="1"/>
  <c r="C20" i="60"/>
  <c r="B23" i="60"/>
  <c r="C9" i="60"/>
  <c r="C25" i="60" s="1"/>
  <c r="E25" i="60" s="1"/>
  <c r="B11" i="60"/>
  <c r="C14" i="60" l="1"/>
  <c r="C15" i="60"/>
  <c r="E20" i="60"/>
  <c r="E21" i="60"/>
  <c r="B39" i="60"/>
  <c r="C23" i="60"/>
  <c r="B38" i="60"/>
  <c r="B37" i="60"/>
  <c r="B36" i="60"/>
  <c r="B28" i="60"/>
  <c r="B18" i="60"/>
  <c r="C18" i="60" s="1"/>
  <c r="E18" i="60" s="1"/>
  <c r="C17" i="60"/>
  <c r="C28" i="60" l="1"/>
  <c r="E28" i="60" s="1"/>
  <c r="E23" i="60"/>
  <c r="H1" i="9"/>
  <c r="Q27" i="9"/>
  <c r="V27" i="9"/>
  <c r="Q26" i="9"/>
  <c r="V26" i="9"/>
  <c r="L23" i="9"/>
  <c r="M23" i="9" s="1"/>
  <c r="N23" i="9" s="1"/>
  <c r="Q25" i="9"/>
  <c r="V25" i="9"/>
  <c r="Q24" i="9"/>
  <c r="V24" i="9"/>
  <c r="Q23" i="9"/>
  <c r="V23" i="9"/>
  <c r="O8" i="51" l="1"/>
  <c r="P8" i="51"/>
  <c r="Q8" i="51"/>
  <c r="R8" i="51"/>
  <c r="O13" i="51"/>
  <c r="P13" i="51"/>
  <c r="Q13" i="51"/>
  <c r="R13" i="51"/>
  <c r="O18" i="51"/>
  <c r="P18" i="51"/>
  <c r="Q18" i="51"/>
  <c r="R18" i="51"/>
  <c r="O19" i="51"/>
  <c r="P19" i="51"/>
  <c r="Q19" i="51"/>
  <c r="R19" i="51"/>
  <c r="O23" i="51"/>
  <c r="P23" i="51"/>
  <c r="Q23" i="51"/>
  <c r="R23" i="51"/>
  <c r="O24" i="51"/>
  <c r="P24" i="51"/>
  <c r="Q24" i="51"/>
  <c r="R24" i="51"/>
  <c r="O26" i="51"/>
  <c r="P26" i="51"/>
  <c r="Q26" i="51"/>
  <c r="R26" i="51"/>
  <c r="O33" i="51"/>
  <c r="P33" i="51"/>
  <c r="Q33" i="51"/>
  <c r="R33" i="51"/>
  <c r="O36" i="51"/>
  <c r="P36" i="51"/>
  <c r="Q36" i="51"/>
  <c r="R36" i="51"/>
  <c r="O39" i="51"/>
  <c r="P39" i="51"/>
  <c r="Q39" i="51"/>
  <c r="R39" i="51"/>
  <c r="O41" i="51"/>
  <c r="P41" i="51"/>
  <c r="Q41" i="51"/>
  <c r="R41" i="51"/>
  <c r="O42" i="51"/>
  <c r="P42" i="51"/>
  <c r="Q42" i="51"/>
  <c r="R42" i="51"/>
  <c r="O44" i="51"/>
  <c r="P44" i="51"/>
  <c r="Q44" i="51"/>
  <c r="R44" i="51"/>
  <c r="O46" i="51"/>
  <c r="P46" i="51"/>
  <c r="Q46" i="51"/>
  <c r="R46" i="51"/>
  <c r="O47" i="51"/>
  <c r="P47" i="51"/>
  <c r="Q47" i="51"/>
  <c r="R47" i="51"/>
  <c r="O50" i="51"/>
  <c r="P50" i="51"/>
  <c r="Q50" i="51"/>
  <c r="R50" i="51"/>
  <c r="O51" i="51"/>
  <c r="P51" i="51"/>
  <c r="Q51" i="51"/>
  <c r="R51" i="51"/>
  <c r="O54" i="51"/>
  <c r="P54" i="51"/>
  <c r="Q54" i="51"/>
  <c r="R54" i="51"/>
  <c r="O75" i="51"/>
  <c r="P75" i="51"/>
  <c r="Q75" i="51"/>
  <c r="R75" i="51"/>
  <c r="O76" i="51"/>
  <c r="P76" i="51"/>
  <c r="Q76" i="51"/>
  <c r="R76" i="51"/>
  <c r="O78" i="51"/>
  <c r="P78" i="51"/>
  <c r="Q78" i="51"/>
  <c r="R78" i="51"/>
  <c r="O79" i="51"/>
  <c r="P79" i="51"/>
  <c r="Q79" i="51"/>
  <c r="R79" i="51"/>
  <c r="O81" i="51"/>
  <c r="P81" i="51"/>
  <c r="Q81" i="51"/>
  <c r="R81" i="51"/>
  <c r="O82" i="51"/>
  <c r="P82" i="51"/>
  <c r="Q82" i="51"/>
  <c r="R82" i="51"/>
  <c r="O86" i="51"/>
  <c r="P86" i="51"/>
  <c r="Q86" i="51"/>
  <c r="R86" i="51"/>
  <c r="O87" i="51"/>
  <c r="P87" i="51"/>
  <c r="Q87" i="51"/>
  <c r="R87" i="51"/>
  <c r="O89" i="51"/>
  <c r="P89" i="51"/>
  <c r="Q89" i="51"/>
  <c r="R89" i="51"/>
  <c r="O92" i="51"/>
  <c r="P92" i="51"/>
  <c r="Q92" i="51"/>
  <c r="R92" i="51"/>
  <c r="O99" i="51"/>
  <c r="P99" i="51"/>
  <c r="Q99" i="51"/>
  <c r="R99" i="51"/>
  <c r="O109" i="51"/>
  <c r="P109" i="51"/>
  <c r="Q109" i="51"/>
  <c r="R109" i="51"/>
  <c r="O110" i="51"/>
  <c r="P110" i="51"/>
  <c r="Q110" i="51"/>
  <c r="R110" i="51"/>
  <c r="O111" i="51"/>
  <c r="P111" i="51"/>
  <c r="Q111" i="51"/>
  <c r="R111" i="51"/>
  <c r="O112" i="51"/>
  <c r="P112" i="51"/>
  <c r="Q112" i="51"/>
  <c r="R112" i="51"/>
  <c r="O113" i="51"/>
  <c r="P113" i="51"/>
  <c r="Q113" i="51"/>
  <c r="R113" i="51"/>
  <c r="O123" i="51"/>
  <c r="P123" i="51"/>
  <c r="Q123" i="51"/>
  <c r="R123" i="51"/>
  <c r="O133" i="51"/>
  <c r="P133" i="51"/>
  <c r="Q133" i="51"/>
  <c r="R133" i="51"/>
  <c r="O134" i="51"/>
  <c r="P134" i="51"/>
  <c r="Q134" i="51"/>
  <c r="R134" i="51"/>
  <c r="O142" i="51"/>
  <c r="P142" i="51"/>
  <c r="Q142" i="51"/>
  <c r="R142" i="51"/>
  <c r="O143" i="51"/>
  <c r="P143" i="51"/>
  <c r="Q143" i="51"/>
  <c r="R143" i="51"/>
  <c r="O149" i="51"/>
  <c r="O157" i="51"/>
  <c r="P157" i="51"/>
  <c r="Q157" i="51"/>
  <c r="R157" i="51"/>
  <c r="O163" i="51"/>
  <c r="P163" i="51"/>
  <c r="Q163" i="51"/>
  <c r="R163" i="51"/>
  <c r="O167" i="51"/>
  <c r="P167" i="51"/>
  <c r="Q167" i="51"/>
  <c r="R167" i="51"/>
  <c r="O168" i="51"/>
  <c r="P168" i="51"/>
  <c r="Q168" i="51"/>
  <c r="R168" i="51"/>
  <c r="O169" i="51"/>
  <c r="P169" i="51"/>
  <c r="Q169" i="51"/>
  <c r="R169" i="51"/>
  <c r="O172" i="51"/>
  <c r="P172" i="51"/>
  <c r="Q172" i="51"/>
  <c r="R172" i="51"/>
  <c r="P5" i="51"/>
  <c r="Q5" i="51"/>
  <c r="R5" i="51"/>
  <c r="O5" i="51"/>
  <c r="K6" i="51"/>
  <c r="O6" i="51" s="1"/>
  <c r="L6" i="51"/>
  <c r="P6" i="51" s="1"/>
  <c r="M6" i="51"/>
  <c r="Q6" i="51" s="1"/>
  <c r="N6" i="51"/>
  <c r="R6" i="51" s="1"/>
  <c r="K7" i="51"/>
  <c r="O7" i="51" s="1"/>
  <c r="L7" i="51"/>
  <c r="P7" i="51" s="1"/>
  <c r="M7" i="51"/>
  <c r="Q7" i="51" s="1"/>
  <c r="N7" i="51"/>
  <c r="R7" i="51" s="1"/>
  <c r="K8" i="51"/>
  <c r="L8" i="51"/>
  <c r="M8" i="51"/>
  <c r="N8" i="51"/>
  <c r="K9" i="51"/>
  <c r="O9" i="51" s="1"/>
  <c r="L9" i="51"/>
  <c r="P9" i="51" s="1"/>
  <c r="M9" i="51"/>
  <c r="Q9" i="51" s="1"/>
  <c r="N9" i="51"/>
  <c r="R9" i="51" s="1"/>
  <c r="K10" i="51"/>
  <c r="O10" i="51" s="1"/>
  <c r="L10" i="51"/>
  <c r="P10" i="51" s="1"/>
  <c r="M10" i="51"/>
  <c r="Q10" i="51" s="1"/>
  <c r="N10" i="51"/>
  <c r="R10" i="51" s="1"/>
  <c r="K11" i="51"/>
  <c r="O11" i="51" s="1"/>
  <c r="L11" i="51"/>
  <c r="P11" i="51" s="1"/>
  <c r="M11" i="51"/>
  <c r="Q11" i="51" s="1"/>
  <c r="N11" i="51"/>
  <c r="R11" i="51" s="1"/>
  <c r="K12" i="51"/>
  <c r="O12" i="51" s="1"/>
  <c r="L12" i="51"/>
  <c r="P12" i="51" s="1"/>
  <c r="M12" i="51"/>
  <c r="Q12" i="51" s="1"/>
  <c r="N12" i="51"/>
  <c r="R12" i="51" s="1"/>
  <c r="K13" i="51"/>
  <c r="L13" i="51"/>
  <c r="M13" i="51"/>
  <c r="N13" i="51"/>
  <c r="K14" i="51"/>
  <c r="O14" i="51" s="1"/>
  <c r="L14" i="51"/>
  <c r="P14" i="51" s="1"/>
  <c r="M14" i="51"/>
  <c r="Q14" i="51" s="1"/>
  <c r="N14" i="51"/>
  <c r="R14" i="51" s="1"/>
  <c r="K15" i="51"/>
  <c r="O15" i="51" s="1"/>
  <c r="L15" i="51"/>
  <c r="P15" i="51" s="1"/>
  <c r="M15" i="51"/>
  <c r="Q15" i="51" s="1"/>
  <c r="N15" i="51"/>
  <c r="R15" i="51" s="1"/>
  <c r="K16" i="51"/>
  <c r="O16" i="51" s="1"/>
  <c r="L16" i="51"/>
  <c r="P16" i="51" s="1"/>
  <c r="M16" i="51"/>
  <c r="Q16" i="51" s="1"/>
  <c r="N16" i="51"/>
  <c r="R16" i="51" s="1"/>
  <c r="K17" i="51"/>
  <c r="O17" i="51" s="1"/>
  <c r="L17" i="51"/>
  <c r="P17" i="51" s="1"/>
  <c r="M17" i="51"/>
  <c r="Q17" i="51" s="1"/>
  <c r="N17" i="51"/>
  <c r="R17" i="51" s="1"/>
  <c r="K18" i="51"/>
  <c r="L18" i="51"/>
  <c r="M18" i="51"/>
  <c r="N18" i="51"/>
  <c r="K19" i="51"/>
  <c r="L19" i="51"/>
  <c r="M19" i="51"/>
  <c r="N19" i="51"/>
  <c r="K20" i="51"/>
  <c r="O20" i="51" s="1"/>
  <c r="L20" i="51"/>
  <c r="P20" i="51" s="1"/>
  <c r="M20" i="51"/>
  <c r="Q20" i="51" s="1"/>
  <c r="N20" i="51"/>
  <c r="R20" i="51" s="1"/>
  <c r="K21" i="51"/>
  <c r="O21" i="51" s="1"/>
  <c r="L21" i="51"/>
  <c r="P21" i="51" s="1"/>
  <c r="M21" i="51"/>
  <c r="Q21" i="51" s="1"/>
  <c r="N21" i="51"/>
  <c r="R21" i="51" s="1"/>
  <c r="K22" i="51"/>
  <c r="O22" i="51" s="1"/>
  <c r="L22" i="51"/>
  <c r="P22" i="51" s="1"/>
  <c r="M22" i="51"/>
  <c r="Q22" i="51" s="1"/>
  <c r="N22" i="51"/>
  <c r="R22" i="51" s="1"/>
  <c r="K23" i="51"/>
  <c r="L23" i="51"/>
  <c r="M23" i="51"/>
  <c r="N23" i="51"/>
  <c r="K24" i="51"/>
  <c r="L24" i="51"/>
  <c r="M24" i="51"/>
  <c r="N24" i="51"/>
  <c r="K25" i="51"/>
  <c r="O25" i="51" s="1"/>
  <c r="L25" i="51"/>
  <c r="P25" i="51" s="1"/>
  <c r="M25" i="51"/>
  <c r="Q25" i="51" s="1"/>
  <c r="N25" i="51"/>
  <c r="R25" i="51" s="1"/>
  <c r="K26" i="51"/>
  <c r="L26" i="51"/>
  <c r="M26" i="51"/>
  <c r="N26" i="51"/>
  <c r="K27" i="51"/>
  <c r="O27" i="51" s="1"/>
  <c r="L27" i="51"/>
  <c r="P27" i="51" s="1"/>
  <c r="M27" i="51"/>
  <c r="Q27" i="51" s="1"/>
  <c r="N27" i="51"/>
  <c r="R27" i="51" s="1"/>
  <c r="K28" i="51"/>
  <c r="O28" i="51" s="1"/>
  <c r="L28" i="51"/>
  <c r="P28" i="51" s="1"/>
  <c r="M28" i="51"/>
  <c r="Q28" i="51" s="1"/>
  <c r="N28" i="51"/>
  <c r="R28" i="51" s="1"/>
  <c r="K29" i="51"/>
  <c r="O29" i="51" s="1"/>
  <c r="L29" i="51"/>
  <c r="P29" i="51" s="1"/>
  <c r="M29" i="51"/>
  <c r="Q29" i="51" s="1"/>
  <c r="N29" i="51"/>
  <c r="R29" i="51" s="1"/>
  <c r="K30" i="51"/>
  <c r="O30" i="51" s="1"/>
  <c r="L30" i="51"/>
  <c r="P30" i="51" s="1"/>
  <c r="M30" i="51"/>
  <c r="Q30" i="51" s="1"/>
  <c r="N30" i="51"/>
  <c r="R30" i="51" s="1"/>
  <c r="K31" i="51"/>
  <c r="O31" i="51" s="1"/>
  <c r="L31" i="51"/>
  <c r="P31" i="51" s="1"/>
  <c r="M31" i="51"/>
  <c r="Q31" i="51" s="1"/>
  <c r="N31" i="51"/>
  <c r="R31" i="51" s="1"/>
  <c r="K32" i="51"/>
  <c r="O32" i="51" s="1"/>
  <c r="L32" i="51"/>
  <c r="P32" i="51" s="1"/>
  <c r="M32" i="51"/>
  <c r="Q32" i="51" s="1"/>
  <c r="N32" i="51"/>
  <c r="R32" i="51" s="1"/>
  <c r="K33" i="51"/>
  <c r="L33" i="51"/>
  <c r="M33" i="51"/>
  <c r="N33" i="51"/>
  <c r="K34" i="51"/>
  <c r="O34" i="51" s="1"/>
  <c r="L34" i="51"/>
  <c r="P34" i="51" s="1"/>
  <c r="M34" i="51"/>
  <c r="Q34" i="51" s="1"/>
  <c r="N34" i="51"/>
  <c r="R34" i="51" s="1"/>
  <c r="K35" i="51"/>
  <c r="O35" i="51" s="1"/>
  <c r="L35" i="51"/>
  <c r="P35" i="51" s="1"/>
  <c r="M35" i="51"/>
  <c r="Q35" i="51" s="1"/>
  <c r="N35" i="51"/>
  <c r="R35" i="51" s="1"/>
  <c r="K36" i="51"/>
  <c r="L36" i="51"/>
  <c r="M36" i="51"/>
  <c r="N36" i="51"/>
  <c r="K37" i="51"/>
  <c r="O37" i="51" s="1"/>
  <c r="L37" i="51"/>
  <c r="P37" i="51" s="1"/>
  <c r="M37" i="51"/>
  <c r="Q37" i="51" s="1"/>
  <c r="N37" i="51"/>
  <c r="R37" i="51" s="1"/>
  <c r="K38" i="51"/>
  <c r="O38" i="51" s="1"/>
  <c r="L38" i="51"/>
  <c r="P38" i="51" s="1"/>
  <c r="M38" i="51"/>
  <c r="Q38" i="51" s="1"/>
  <c r="N38" i="51"/>
  <c r="R38" i="51" s="1"/>
  <c r="K39" i="51"/>
  <c r="L39" i="51"/>
  <c r="M39" i="51"/>
  <c r="N39" i="51"/>
  <c r="K40" i="51"/>
  <c r="O40" i="51" s="1"/>
  <c r="L40" i="51"/>
  <c r="P40" i="51" s="1"/>
  <c r="M40" i="51"/>
  <c r="Q40" i="51" s="1"/>
  <c r="N40" i="51"/>
  <c r="R40" i="51" s="1"/>
  <c r="K41" i="51"/>
  <c r="L41" i="51"/>
  <c r="M41" i="51"/>
  <c r="N41" i="51"/>
  <c r="K42" i="51"/>
  <c r="L42" i="51"/>
  <c r="M42" i="51"/>
  <c r="N42" i="51"/>
  <c r="K43" i="51"/>
  <c r="O43" i="51" s="1"/>
  <c r="L43" i="51"/>
  <c r="P43" i="51" s="1"/>
  <c r="M43" i="51"/>
  <c r="Q43" i="51" s="1"/>
  <c r="N43" i="51"/>
  <c r="R43" i="51" s="1"/>
  <c r="K44" i="51"/>
  <c r="L44" i="51"/>
  <c r="M44" i="51"/>
  <c r="N44" i="51"/>
  <c r="K45" i="51"/>
  <c r="O45" i="51" s="1"/>
  <c r="L45" i="51"/>
  <c r="P45" i="51" s="1"/>
  <c r="M45" i="51"/>
  <c r="Q45" i="51" s="1"/>
  <c r="N45" i="51"/>
  <c r="R45" i="51" s="1"/>
  <c r="K46" i="51"/>
  <c r="L46" i="51"/>
  <c r="M46" i="51"/>
  <c r="N46" i="51"/>
  <c r="K47" i="51"/>
  <c r="L47" i="51"/>
  <c r="M47" i="51"/>
  <c r="N47" i="51"/>
  <c r="K48" i="51"/>
  <c r="O48" i="51" s="1"/>
  <c r="L48" i="51"/>
  <c r="P48" i="51" s="1"/>
  <c r="M48" i="51"/>
  <c r="Q48" i="51" s="1"/>
  <c r="N48" i="51"/>
  <c r="R48" i="51" s="1"/>
  <c r="K49" i="51"/>
  <c r="O49" i="51" s="1"/>
  <c r="L49" i="51"/>
  <c r="P49" i="51" s="1"/>
  <c r="M49" i="51"/>
  <c r="Q49" i="51" s="1"/>
  <c r="N49" i="51"/>
  <c r="R49" i="51" s="1"/>
  <c r="K50" i="51"/>
  <c r="L50" i="51"/>
  <c r="M50" i="51"/>
  <c r="N50" i="51"/>
  <c r="K51" i="51"/>
  <c r="L51" i="51"/>
  <c r="M51" i="51"/>
  <c r="N51" i="51"/>
  <c r="K52" i="51"/>
  <c r="O52" i="51" s="1"/>
  <c r="L52" i="51"/>
  <c r="P52" i="51" s="1"/>
  <c r="M52" i="51"/>
  <c r="Q52" i="51" s="1"/>
  <c r="N52" i="51"/>
  <c r="R52" i="51" s="1"/>
  <c r="K53" i="51"/>
  <c r="O53" i="51" s="1"/>
  <c r="L53" i="51"/>
  <c r="P53" i="51" s="1"/>
  <c r="M53" i="51"/>
  <c r="Q53" i="51" s="1"/>
  <c r="N53" i="51"/>
  <c r="R53" i="51" s="1"/>
  <c r="K54" i="51"/>
  <c r="L54" i="51"/>
  <c r="M54" i="51"/>
  <c r="N54" i="51"/>
  <c r="K55" i="51"/>
  <c r="O55" i="51" s="1"/>
  <c r="L55" i="51"/>
  <c r="P55" i="51" s="1"/>
  <c r="M55" i="51"/>
  <c r="Q55" i="51" s="1"/>
  <c r="N55" i="51"/>
  <c r="R55" i="51" s="1"/>
  <c r="K56" i="51"/>
  <c r="O56" i="51" s="1"/>
  <c r="L56" i="51"/>
  <c r="P56" i="51" s="1"/>
  <c r="M56" i="51"/>
  <c r="Q56" i="51" s="1"/>
  <c r="N56" i="51"/>
  <c r="R56" i="51" s="1"/>
  <c r="K57" i="51"/>
  <c r="O57" i="51" s="1"/>
  <c r="L57" i="51"/>
  <c r="P57" i="51" s="1"/>
  <c r="M57" i="51"/>
  <c r="Q57" i="51" s="1"/>
  <c r="N57" i="51"/>
  <c r="R57" i="51" s="1"/>
  <c r="K58" i="51"/>
  <c r="O58" i="51" s="1"/>
  <c r="L58" i="51"/>
  <c r="P58" i="51" s="1"/>
  <c r="M58" i="51"/>
  <c r="Q58" i="51" s="1"/>
  <c r="N58" i="51"/>
  <c r="R58" i="51" s="1"/>
  <c r="K59" i="51"/>
  <c r="O59" i="51" s="1"/>
  <c r="L59" i="51"/>
  <c r="P59" i="51" s="1"/>
  <c r="M59" i="51"/>
  <c r="Q59" i="51" s="1"/>
  <c r="N59" i="51"/>
  <c r="R59" i="51" s="1"/>
  <c r="K60" i="51"/>
  <c r="O60" i="51" s="1"/>
  <c r="L60" i="51"/>
  <c r="P60" i="51" s="1"/>
  <c r="M60" i="51"/>
  <c r="Q60" i="51" s="1"/>
  <c r="N60" i="51"/>
  <c r="R60" i="51" s="1"/>
  <c r="K61" i="51"/>
  <c r="O61" i="51" s="1"/>
  <c r="L61" i="51"/>
  <c r="P61" i="51" s="1"/>
  <c r="M61" i="51"/>
  <c r="Q61" i="51" s="1"/>
  <c r="N61" i="51"/>
  <c r="R61" i="51" s="1"/>
  <c r="K62" i="51"/>
  <c r="O62" i="51" s="1"/>
  <c r="L62" i="51"/>
  <c r="P62" i="51" s="1"/>
  <c r="M62" i="51"/>
  <c r="Q62" i="51" s="1"/>
  <c r="N62" i="51"/>
  <c r="R62" i="51" s="1"/>
  <c r="K63" i="51"/>
  <c r="O63" i="51" s="1"/>
  <c r="L63" i="51"/>
  <c r="P63" i="51" s="1"/>
  <c r="M63" i="51"/>
  <c r="Q63" i="51" s="1"/>
  <c r="N63" i="51"/>
  <c r="R63" i="51" s="1"/>
  <c r="K64" i="51"/>
  <c r="O64" i="51" s="1"/>
  <c r="L64" i="51"/>
  <c r="P64" i="51" s="1"/>
  <c r="M64" i="51"/>
  <c r="Q64" i="51" s="1"/>
  <c r="N64" i="51"/>
  <c r="R64" i="51" s="1"/>
  <c r="K65" i="51"/>
  <c r="O65" i="51" s="1"/>
  <c r="L65" i="51"/>
  <c r="P65" i="51" s="1"/>
  <c r="M65" i="51"/>
  <c r="Q65" i="51" s="1"/>
  <c r="N65" i="51"/>
  <c r="R65" i="51" s="1"/>
  <c r="K66" i="51"/>
  <c r="O66" i="51" s="1"/>
  <c r="L66" i="51"/>
  <c r="P66" i="51" s="1"/>
  <c r="M66" i="51"/>
  <c r="Q66" i="51" s="1"/>
  <c r="N66" i="51"/>
  <c r="R66" i="51" s="1"/>
  <c r="K67" i="51"/>
  <c r="O67" i="51" s="1"/>
  <c r="L67" i="51"/>
  <c r="P67" i="51" s="1"/>
  <c r="M67" i="51"/>
  <c r="Q67" i="51" s="1"/>
  <c r="N67" i="51"/>
  <c r="R67" i="51" s="1"/>
  <c r="K68" i="51"/>
  <c r="O68" i="51" s="1"/>
  <c r="L68" i="51"/>
  <c r="P68" i="51" s="1"/>
  <c r="M68" i="51"/>
  <c r="Q68" i="51" s="1"/>
  <c r="N68" i="51"/>
  <c r="R68" i="51" s="1"/>
  <c r="K69" i="51"/>
  <c r="O69" i="51" s="1"/>
  <c r="L69" i="51"/>
  <c r="P69" i="51" s="1"/>
  <c r="M69" i="51"/>
  <c r="Q69" i="51" s="1"/>
  <c r="N69" i="51"/>
  <c r="R69" i="51" s="1"/>
  <c r="K70" i="51"/>
  <c r="O70" i="51" s="1"/>
  <c r="L70" i="51"/>
  <c r="P70" i="51" s="1"/>
  <c r="M70" i="51"/>
  <c r="Q70" i="51" s="1"/>
  <c r="N70" i="51"/>
  <c r="R70" i="51" s="1"/>
  <c r="K71" i="51"/>
  <c r="O71" i="51" s="1"/>
  <c r="L71" i="51"/>
  <c r="P71" i="51" s="1"/>
  <c r="M71" i="51"/>
  <c r="Q71" i="51" s="1"/>
  <c r="N71" i="51"/>
  <c r="R71" i="51" s="1"/>
  <c r="K72" i="51"/>
  <c r="O72" i="51" s="1"/>
  <c r="L72" i="51"/>
  <c r="P72" i="51" s="1"/>
  <c r="M72" i="51"/>
  <c r="Q72" i="51" s="1"/>
  <c r="N72" i="51"/>
  <c r="R72" i="51" s="1"/>
  <c r="K73" i="51"/>
  <c r="O73" i="51" s="1"/>
  <c r="L73" i="51"/>
  <c r="P73" i="51" s="1"/>
  <c r="M73" i="51"/>
  <c r="Q73" i="51" s="1"/>
  <c r="N73" i="51"/>
  <c r="R73" i="51" s="1"/>
  <c r="K74" i="51"/>
  <c r="O74" i="51" s="1"/>
  <c r="L74" i="51"/>
  <c r="P74" i="51" s="1"/>
  <c r="M74" i="51"/>
  <c r="Q74" i="51" s="1"/>
  <c r="N74" i="51"/>
  <c r="R74" i="51" s="1"/>
  <c r="K75" i="51"/>
  <c r="L75" i="51"/>
  <c r="M75" i="51"/>
  <c r="N75" i="51"/>
  <c r="K76" i="51"/>
  <c r="L76" i="51"/>
  <c r="M76" i="51"/>
  <c r="N76" i="51"/>
  <c r="K77" i="51"/>
  <c r="O77" i="51" s="1"/>
  <c r="L77" i="51"/>
  <c r="P77" i="51" s="1"/>
  <c r="M77" i="51"/>
  <c r="Q77" i="51" s="1"/>
  <c r="N77" i="51"/>
  <c r="R77" i="51" s="1"/>
  <c r="K78" i="51"/>
  <c r="L78" i="51"/>
  <c r="M78" i="51"/>
  <c r="N78" i="51"/>
  <c r="K79" i="51"/>
  <c r="L79" i="51"/>
  <c r="M79" i="51"/>
  <c r="N79" i="51"/>
  <c r="K80" i="51"/>
  <c r="O80" i="51" s="1"/>
  <c r="L80" i="51"/>
  <c r="P80" i="51" s="1"/>
  <c r="M80" i="51"/>
  <c r="Q80" i="51" s="1"/>
  <c r="N80" i="51"/>
  <c r="R80" i="51" s="1"/>
  <c r="K81" i="51"/>
  <c r="L81" i="51"/>
  <c r="M81" i="51"/>
  <c r="N81" i="51"/>
  <c r="K82" i="51"/>
  <c r="L82" i="51"/>
  <c r="M82" i="51"/>
  <c r="N82" i="51"/>
  <c r="K83" i="51"/>
  <c r="O83" i="51" s="1"/>
  <c r="L83" i="51"/>
  <c r="P83" i="51" s="1"/>
  <c r="M83" i="51"/>
  <c r="Q83" i="51" s="1"/>
  <c r="N83" i="51"/>
  <c r="R83" i="51" s="1"/>
  <c r="K84" i="51"/>
  <c r="O84" i="51" s="1"/>
  <c r="L84" i="51"/>
  <c r="P84" i="51" s="1"/>
  <c r="M84" i="51"/>
  <c r="Q84" i="51" s="1"/>
  <c r="N84" i="51"/>
  <c r="R84" i="51" s="1"/>
  <c r="K85" i="51"/>
  <c r="O85" i="51" s="1"/>
  <c r="L85" i="51"/>
  <c r="P85" i="51" s="1"/>
  <c r="M85" i="51"/>
  <c r="Q85" i="51" s="1"/>
  <c r="N85" i="51"/>
  <c r="R85" i="51" s="1"/>
  <c r="K86" i="51"/>
  <c r="L86" i="51"/>
  <c r="M86" i="51"/>
  <c r="N86" i="51"/>
  <c r="K87" i="51"/>
  <c r="L87" i="51"/>
  <c r="M87" i="51"/>
  <c r="N87" i="51"/>
  <c r="K88" i="51"/>
  <c r="O88" i="51" s="1"/>
  <c r="L88" i="51"/>
  <c r="P88" i="51" s="1"/>
  <c r="M88" i="51"/>
  <c r="Q88" i="51" s="1"/>
  <c r="N88" i="51"/>
  <c r="R88" i="51" s="1"/>
  <c r="K89" i="51"/>
  <c r="L89" i="51"/>
  <c r="M89" i="51"/>
  <c r="N89" i="51"/>
  <c r="K90" i="51"/>
  <c r="O90" i="51" s="1"/>
  <c r="L90" i="51"/>
  <c r="P90" i="51" s="1"/>
  <c r="M90" i="51"/>
  <c r="Q90" i="51" s="1"/>
  <c r="N90" i="51"/>
  <c r="R90" i="51" s="1"/>
  <c r="K91" i="51"/>
  <c r="O91" i="51" s="1"/>
  <c r="L91" i="51"/>
  <c r="P91" i="51" s="1"/>
  <c r="M91" i="51"/>
  <c r="Q91" i="51" s="1"/>
  <c r="N91" i="51"/>
  <c r="R91" i="51" s="1"/>
  <c r="K92" i="51"/>
  <c r="L92" i="51"/>
  <c r="M92" i="51"/>
  <c r="N92" i="51"/>
  <c r="K93" i="51"/>
  <c r="O93" i="51" s="1"/>
  <c r="L93" i="51"/>
  <c r="P93" i="51" s="1"/>
  <c r="M93" i="51"/>
  <c r="Q93" i="51" s="1"/>
  <c r="N93" i="51"/>
  <c r="R93" i="51" s="1"/>
  <c r="K94" i="51"/>
  <c r="O94" i="51" s="1"/>
  <c r="L94" i="51"/>
  <c r="P94" i="51" s="1"/>
  <c r="M94" i="51"/>
  <c r="Q94" i="51" s="1"/>
  <c r="N94" i="51"/>
  <c r="R94" i="51" s="1"/>
  <c r="K95" i="51"/>
  <c r="O95" i="51" s="1"/>
  <c r="L95" i="51"/>
  <c r="P95" i="51" s="1"/>
  <c r="M95" i="51"/>
  <c r="Q95" i="51" s="1"/>
  <c r="N95" i="51"/>
  <c r="R95" i="51" s="1"/>
  <c r="K96" i="51"/>
  <c r="O96" i="51" s="1"/>
  <c r="L96" i="51"/>
  <c r="P96" i="51" s="1"/>
  <c r="M96" i="51"/>
  <c r="Q96" i="51" s="1"/>
  <c r="N96" i="51"/>
  <c r="R96" i="51" s="1"/>
  <c r="K97" i="51"/>
  <c r="O97" i="51" s="1"/>
  <c r="L97" i="51"/>
  <c r="P97" i="51" s="1"/>
  <c r="M97" i="51"/>
  <c r="Q97" i="51" s="1"/>
  <c r="N97" i="51"/>
  <c r="R97" i="51" s="1"/>
  <c r="K98" i="51"/>
  <c r="O98" i="51" s="1"/>
  <c r="L98" i="51"/>
  <c r="P98" i="51" s="1"/>
  <c r="M98" i="51"/>
  <c r="Q98" i="51" s="1"/>
  <c r="N98" i="51"/>
  <c r="R98" i="51" s="1"/>
  <c r="K99" i="51"/>
  <c r="L99" i="51"/>
  <c r="M99" i="51"/>
  <c r="N99" i="51"/>
  <c r="K100" i="51"/>
  <c r="O100" i="51" s="1"/>
  <c r="L100" i="51"/>
  <c r="P100" i="51" s="1"/>
  <c r="M100" i="51"/>
  <c r="Q100" i="51" s="1"/>
  <c r="N100" i="51"/>
  <c r="R100" i="51" s="1"/>
  <c r="K101" i="51"/>
  <c r="O101" i="51" s="1"/>
  <c r="L101" i="51"/>
  <c r="P101" i="51" s="1"/>
  <c r="M101" i="51"/>
  <c r="Q101" i="51" s="1"/>
  <c r="N101" i="51"/>
  <c r="R101" i="51" s="1"/>
  <c r="K102" i="51"/>
  <c r="O102" i="51" s="1"/>
  <c r="L102" i="51"/>
  <c r="P102" i="51" s="1"/>
  <c r="M102" i="51"/>
  <c r="Q102" i="51" s="1"/>
  <c r="N102" i="51"/>
  <c r="R102" i="51" s="1"/>
  <c r="K103" i="51"/>
  <c r="O103" i="51" s="1"/>
  <c r="L103" i="51"/>
  <c r="P103" i="51" s="1"/>
  <c r="M103" i="51"/>
  <c r="Q103" i="51" s="1"/>
  <c r="N103" i="51"/>
  <c r="R103" i="51" s="1"/>
  <c r="K104" i="51"/>
  <c r="O104" i="51" s="1"/>
  <c r="L104" i="51"/>
  <c r="P104" i="51" s="1"/>
  <c r="M104" i="51"/>
  <c r="Q104" i="51" s="1"/>
  <c r="N104" i="51"/>
  <c r="R104" i="51" s="1"/>
  <c r="K105" i="51"/>
  <c r="O105" i="51" s="1"/>
  <c r="L105" i="51"/>
  <c r="P105" i="51" s="1"/>
  <c r="M105" i="51"/>
  <c r="Q105" i="51" s="1"/>
  <c r="N105" i="51"/>
  <c r="R105" i="51" s="1"/>
  <c r="K106" i="51"/>
  <c r="O106" i="51" s="1"/>
  <c r="L106" i="51"/>
  <c r="P106" i="51" s="1"/>
  <c r="M106" i="51"/>
  <c r="Q106" i="51" s="1"/>
  <c r="N106" i="51"/>
  <c r="R106" i="51" s="1"/>
  <c r="K107" i="51"/>
  <c r="O107" i="51" s="1"/>
  <c r="L107" i="51"/>
  <c r="P107" i="51" s="1"/>
  <c r="M107" i="51"/>
  <c r="Q107" i="51" s="1"/>
  <c r="N107" i="51"/>
  <c r="R107" i="51" s="1"/>
  <c r="K108" i="51"/>
  <c r="O108" i="51" s="1"/>
  <c r="L108" i="51"/>
  <c r="P108" i="51" s="1"/>
  <c r="M108" i="51"/>
  <c r="Q108" i="51" s="1"/>
  <c r="N108" i="51"/>
  <c r="R108" i="51" s="1"/>
  <c r="K109" i="51"/>
  <c r="L109" i="51"/>
  <c r="M109" i="51"/>
  <c r="N109" i="51"/>
  <c r="K110" i="51"/>
  <c r="L110" i="51"/>
  <c r="M110" i="51"/>
  <c r="N110" i="51"/>
  <c r="K111" i="51"/>
  <c r="L111" i="51"/>
  <c r="M111" i="51"/>
  <c r="N111" i="51"/>
  <c r="K112" i="51"/>
  <c r="L112" i="51"/>
  <c r="M112" i="51"/>
  <c r="N112" i="51"/>
  <c r="K113" i="51"/>
  <c r="L113" i="51"/>
  <c r="M113" i="51"/>
  <c r="N113" i="51"/>
  <c r="K114" i="51"/>
  <c r="O114" i="51" s="1"/>
  <c r="L114" i="51"/>
  <c r="P114" i="51" s="1"/>
  <c r="M114" i="51"/>
  <c r="Q114" i="51" s="1"/>
  <c r="N114" i="51"/>
  <c r="R114" i="51" s="1"/>
  <c r="K115" i="51"/>
  <c r="O115" i="51" s="1"/>
  <c r="L115" i="51"/>
  <c r="P115" i="51" s="1"/>
  <c r="M115" i="51"/>
  <c r="Q115" i="51" s="1"/>
  <c r="N115" i="51"/>
  <c r="R115" i="51" s="1"/>
  <c r="K116" i="51"/>
  <c r="O116" i="51" s="1"/>
  <c r="L116" i="51"/>
  <c r="P116" i="51" s="1"/>
  <c r="M116" i="51"/>
  <c r="Q116" i="51" s="1"/>
  <c r="N116" i="51"/>
  <c r="R116" i="51" s="1"/>
  <c r="K117" i="51"/>
  <c r="O117" i="51" s="1"/>
  <c r="L117" i="51"/>
  <c r="P117" i="51" s="1"/>
  <c r="M117" i="51"/>
  <c r="Q117" i="51" s="1"/>
  <c r="N117" i="51"/>
  <c r="R117" i="51" s="1"/>
  <c r="K118" i="51"/>
  <c r="O118" i="51" s="1"/>
  <c r="L118" i="51"/>
  <c r="P118" i="51" s="1"/>
  <c r="M118" i="51"/>
  <c r="Q118" i="51" s="1"/>
  <c r="N118" i="51"/>
  <c r="R118" i="51" s="1"/>
  <c r="K119" i="51"/>
  <c r="O119" i="51" s="1"/>
  <c r="L119" i="51"/>
  <c r="P119" i="51" s="1"/>
  <c r="M119" i="51"/>
  <c r="Q119" i="51" s="1"/>
  <c r="N119" i="51"/>
  <c r="R119" i="51" s="1"/>
  <c r="K120" i="51"/>
  <c r="O120" i="51" s="1"/>
  <c r="L120" i="51"/>
  <c r="P120" i="51" s="1"/>
  <c r="M120" i="51"/>
  <c r="Q120" i="51" s="1"/>
  <c r="N120" i="51"/>
  <c r="R120" i="51" s="1"/>
  <c r="K121" i="51"/>
  <c r="O121" i="51" s="1"/>
  <c r="L121" i="51"/>
  <c r="P121" i="51" s="1"/>
  <c r="M121" i="51"/>
  <c r="Q121" i="51" s="1"/>
  <c r="N121" i="51"/>
  <c r="R121" i="51" s="1"/>
  <c r="K122" i="51"/>
  <c r="O122" i="51" s="1"/>
  <c r="L122" i="51"/>
  <c r="P122" i="51" s="1"/>
  <c r="M122" i="51"/>
  <c r="Q122" i="51" s="1"/>
  <c r="N122" i="51"/>
  <c r="R122" i="51" s="1"/>
  <c r="K123" i="51"/>
  <c r="L123" i="51"/>
  <c r="M123" i="51"/>
  <c r="N123" i="51"/>
  <c r="K124" i="51"/>
  <c r="O124" i="51" s="1"/>
  <c r="L124" i="51"/>
  <c r="P124" i="51" s="1"/>
  <c r="M124" i="51"/>
  <c r="Q124" i="51" s="1"/>
  <c r="N124" i="51"/>
  <c r="R124" i="51" s="1"/>
  <c r="K125" i="51"/>
  <c r="O125" i="51" s="1"/>
  <c r="L125" i="51"/>
  <c r="P125" i="51" s="1"/>
  <c r="M125" i="51"/>
  <c r="Q125" i="51" s="1"/>
  <c r="N125" i="51"/>
  <c r="R125" i="51" s="1"/>
  <c r="K126" i="51"/>
  <c r="O126" i="51" s="1"/>
  <c r="L126" i="51"/>
  <c r="P126" i="51" s="1"/>
  <c r="M126" i="51"/>
  <c r="Q126" i="51" s="1"/>
  <c r="N126" i="51"/>
  <c r="R126" i="51" s="1"/>
  <c r="K127" i="51"/>
  <c r="O127" i="51" s="1"/>
  <c r="L127" i="51"/>
  <c r="P127" i="51" s="1"/>
  <c r="M127" i="51"/>
  <c r="Q127" i="51" s="1"/>
  <c r="N127" i="51"/>
  <c r="R127" i="51" s="1"/>
  <c r="K128" i="51"/>
  <c r="O128" i="51" s="1"/>
  <c r="L128" i="51"/>
  <c r="P128" i="51" s="1"/>
  <c r="M128" i="51"/>
  <c r="Q128" i="51" s="1"/>
  <c r="N128" i="51"/>
  <c r="R128" i="51" s="1"/>
  <c r="K129" i="51"/>
  <c r="O129" i="51" s="1"/>
  <c r="L129" i="51"/>
  <c r="P129" i="51" s="1"/>
  <c r="M129" i="51"/>
  <c r="Q129" i="51" s="1"/>
  <c r="N129" i="51"/>
  <c r="R129" i="51" s="1"/>
  <c r="K130" i="51"/>
  <c r="O130" i="51" s="1"/>
  <c r="L130" i="51"/>
  <c r="P130" i="51" s="1"/>
  <c r="M130" i="51"/>
  <c r="Q130" i="51" s="1"/>
  <c r="N130" i="51"/>
  <c r="R130" i="51" s="1"/>
  <c r="K131" i="51"/>
  <c r="O131" i="51" s="1"/>
  <c r="L131" i="51"/>
  <c r="P131" i="51" s="1"/>
  <c r="M131" i="51"/>
  <c r="Q131" i="51" s="1"/>
  <c r="N131" i="51"/>
  <c r="R131" i="51" s="1"/>
  <c r="K132" i="51"/>
  <c r="O132" i="51" s="1"/>
  <c r="L132" i="51"/>
  <c r="P132" i="51" s="1"/>
  <c r="M132" i="51"/>
  <c r="Q132" i="51" s="1"/>
  <c r="N132" i="51"/>
  <c r="R132" i="51" s="1"/>
  <c r="K133" i="51"/>
  <c r="L133" i="51"/>
  <c r="M133" i="51"/>
  <c r="N133" i="51"/>
  <c r="K134" i="51"/>
  <c r="L134" i="51"/>
  <c r="M134" i="51"/>
  <c r="N134" i="51"/>
  <c r="K135" i="51"/>
  <c r="O135" i="51" s="1"/>
  <c r="L135" i="51"/>
  <c r="P135" i="51" s="1"/>
  <c r="M135" i="51"/>
  <c r="Q135" i="51" s="1"/>
  <c r="N135" i="51"/>
  <c r="R135" i="51" s="1"/>
  <c r="K136" i="51"/>
  <c r="O136" i="51" s="1"/>
  <c r="L136" i="51"/>
  <c r="P136" i="51" s="1"/>
  <c r="M136" i="51"/>
  <c r="Q136" i="51" s="1"/>
  <c r="N136" i="51"/>
  <c r="R136" i="51" s="1"/>
  <c r="K137" i="51"/>
  <c r="O137" i="51" s="1"/>
  <c r="L137" i="51"/>
  <c r="P137" i="51" s="1"/>
  <c r="M137" i="51"/>
  <c r="Q137" i="51" s="1"/>
  <c r="N137" i="51"/>
  <c r="R137" i="51" s="1"/>
  <c r="K138" i="51"/>
  <c r="O138" i="51" s="1"/>
  <c r="L138" i="51"/>
  <c r="P138" i="51" s="1"/>
  <c r="M138" i="51"/>
  <c r="Q138" i="51" s="1"/>
  <c r="N138" i="51"/>
  <c r="R138" i="51" s="1"/>
  <c r="K139" i="51"/>
  <c r="O139" i="51" s="1"/>
  <c r="L139" i="51"/>
  <c r="P139" i="51" s="1"/>
  <c r="M139" i="51"/>
  <c r="Q139" i="51" s="1"/>
  <c r="N139" i="51"/>
  <c r="R139" i="51" s="1"/>
  <c r="K140" i="51"/>
  <c r="O140" i="51" s="1"/>
  <c r="L140" i="51"/>
  <c r="P140" i="51" s="1"/>
  <c r="M140" i="51"/>
  <c r="Q140" i="51" s="1"/>
  <c r="N140" i="51"/>
  <c r="R140" i="51" s="1"/>
  <c r="K141" i="51"/>
  <c r="O141" i="51" s="1"/>
  <c r="L141" i="51"/>
  <c r="P141" i="51" s="1"/>
  <c r="M141" i="51"/>
  <c r="Q141" i="51" s="1"/>
  <c r="N141" i="51"/>
  <c r="R141" i="51" s="1"/>
  <c r="K142" i="51"/>
  <c r="L142" i="51"/>
  <c r="M142" i="51"/>
  <c r="N142" i="51"/>
  <c r="K143" i="51"/>
  <c r="L143" i="51"/>
  <c r="M143" i="51"/>
  <c r="N143" i="51"/>
  <c r="K144" i="51"/>
  <c r="O144" i="51" s="1"/>
  <c r="L144" i="51"/>
  <c r="P144" i="51" s="1"/>
  <c r="M144" i="51"/>
  <c r="Q144" i="51" s="1"/>
  <c r="N144" i="51"/>
  <c r="R144" i="51" s="1"/>
  <c r="K145" i="51"/>
  <c r="O145" i="51" s="1"/>
  <c r="L145" i="51"/>
  <c r="P145" i="51" s="1"/>
  <c r="M145" i="51"/>
  <c r="Q145" i="51" s="1"/>
  <c r="N145" i="51"/>
  <c r="R145" i="51" s="1"/>
  <c r="K146" i="51"/>
  <c r="O146" i="51" s="1"/>
  <c r="L146" i="51"/>
  <c r="P146" i="51" s="1"/>
  <c r="M146" i="51"/>
  <c r="Q146" i="51" s="1"/>
  <c r="N146" i="51"/>
  <c r="R146" i="51" s="1"/>
  <c r="K147" i="51"/>
  <c r="O147" i="51" s="1"/>
  <c r="L147" i="51"/>
  <c r="P147" i="51" s="1"/>
  <c r="M147" i="51"/>
  <c r="Q147" i="51" s="1"/>
  <c r="N147" i="51"/>
  <c r="R147" i="51" s="1"/>
  <c r="K148" i="51"/>
  <c r="O148" i="51" s="1"/>
  <c r="L148" i="51"/>
  <c r="P148" i="51" s="1"/>
  <c r="M148" i="51"/>
  <c r="Q148" i="51" s="1"/>
  <c r="N148" i="51"/>
  <c r="R148" i="51" s="1"/>
  <c r="K149" i="51"/>
  <c r="L149" i="51"/>
  <c r="P149" i="51" s="1"/>
  <c r="M149" i="51"/>
  <c r="Q149" i="51" s="1"/>
  <c r="N149" i="51"/>
  <c r="R149" i="51" s="1"/>
  <c r="K150" i="51"/>
  <c r="O150" i="51" s="1"/>
  <c r="L150" i="51"/>
  <c r="P150" i="51" s="1"/>
  <c r="M150" i="51"/>
  <c r="Q150" i="51" s="1"/>
  <c r="N150" i="51"/>
  <c r="R150" i="51" s="1"/>
  <c r="K151" i="51"/>
  <c r="O151" i="51" s="1"/>
  <c r="L151" i="51"/>
  <c r="P151" i="51" s="1"/>
  <c r="M151" i="51"/>
  <c r="Q151" i="51" s="1"/>
  <c r="N151" i="51"/>
  <c r="R151" i="51" s="1"/>
  <c r="K152" i="51"/>
  <c r="O152" i="51" s="1"/>
  <c r="L152" i="51"/>
  <c r="P152" i="51" s="1"/>
  <c r="M152" i="51"/>
  <c r="Q152" i="51" s="1"/>
  <c r="N152" i="51"/>
  <c r="R152" i="51" s="1"/>
  <c r="K153" i="51"/>
  <c r="O153" i="51" s="1"/>
  <c r="L153" i="51"/>
  <c r="P153" i="51" s="1"/>
  <c r="M153" i="51"/>
  <c r="Q153" i="51" s="1"/>
  <c r="N153" i="51"/>
  <c r="R153" i="51" s="1"/>
  <c r="K154" i="51"/>
  <c r="O154" i="51" s="1"/>
  <c r="L154" i="51"/>
  <c r="P154" i="51" s="1"/>
  <c r="M154" i="51"/>
  <c r="Q154" i="51" s="1"/>
  <c r="N154" i="51"/>
  <c r="R154" i="51" s="1"/>
  <c r="K155" i="51"/>
  <c r="O155" i="51" s="1"/>
  <c r="L155" i="51"/>
  <c r="P155" i="51" s="1"/>
  <c r="M155" i="51"/>
  <c r="Q155" i="51" s="1"/>
  <c r="N155" i="51"/>
  <c r="R155" i="51" s="1"/>
  <c r="K156" i="51"/>
  <c r="O156" i="51" s="1"/>
  <c r="L156" i="51"/>
  <c r="P156" i="51" s="1"/>
  <c r="M156" i="51"/>
  <c r="Q156" i="51" s="1"/>
  <c r="N156" i="51"/>
  <c r="R156" i="51" s="1"/>
  <c r="K157" i="51"/>
  <c r="L157" i="51"/>
  <c r="M157" i="51"/>
  <c r="N157" i="51"/>
  <c r="K158" i="51"/>
  <c r="O158" i="51" s="1"/>
  <c r="L158" i="51"/>
  <c r="P158" i="51" s="1"/>
  <c r="M158" i="51"/>
  <c r="Q158" i="51" s="1"/>
  <c r="N158" i="51"/>
  <c r="R158" i="51" s="1"/>
  <c r="K159" i="51"/>
  <c r="O159" i="51" s="1"/>
  <c r="L159" i="51"/>
  <c r="P159" i="51" s="1"/>
  <c r="M159" i="51"/>
  <c r="Q159" i="51" s="1"/>
  <c r="N159" i="51"/>
  <c r="R159" i="51" s="1"/>
  <c r="K160" i="51"/>
  <c r="O160" i="51" s="1"/>
  <c r="L160" i="51"/>
  <c r="P160" i="51" s="1"/>
  <c r="M160" i="51"/>
  <c r="Q160" i="51" s="1"/>
  <c r="N160" i="51"/>
  <c r="R160" i="51" s="1"/>
  <c r="K161" i="51"/>
  <c r="O161" i="51" s="1"/>
  <c r="L161" i="51"/>
  <c r="P161" i="51" s="1"/>
  <c r="M161" i="51"/>
  <c r="Q161" i="51" s="1"/>
  <c r="N161" i="51"/>
  <c r="R161" i="51" s="1"/>
  <c r="K162" i="51"/>
  <c r="O162" i="51" s="1"/>
  <c r="L162" i="51"/>
  <c r="P162" i="51" s="1"/>
  <c r="M162" i="51"/>
  <c r="Q162" i="51" s="1"/>
  <c r="N162" i="51"/>
  <c r="R162" i="51" s="1"/>
  <c r="K163" i="51"/>
  <c r="L163" i="51"/>
  <c r="M163" i="51"/>
  <c r="N163" i="51"/>
  <c r="K164" i="51"/>
  <c r="O164" i="51" s="1"/>
  <c r="L164" i="51"/>
  <c r="P164" i="51" s="1"/>
  <c r="M164" i="51"/>
  <c r="Q164" i="51" s="1"/>
  <c r="N164" i="51"/>
  <c r="R164" i="51" s="1"/>
  <c r="K165" i="51"/>
  <c r="O165" i="51" s="1"/>
  <c r="L165" i="51"/>
  <c r="P165" i="51" s="1"/>
  <c r="M165" i="51"/>
  <c r="Q165" i="51" s="1"/>
  <c r="N165" i="51"/>
  <c r="R165" i="51" s="1"/>
  <c r="K166" i="51"/>
  <c r="O166" i="51" s="1"/>
  <c r="L166" i="51"/>
  <c r="P166" i="51" s="1"/>
  <c r="M166" i="51"/>
  <c r="Q166" i="51" s="1"/>
  <c r="N166" i="51"/>
  <c r="R166" i="51" s="1"/>
  <c r="K167" i="51"/>
  <c r="L167" i="51"/>
  <c r="M167" i="51"/>
  <c r="N167" i="51"/>
  <c r="K168" i="51"/>
  <c r="L168" i="51"/>
  <c r="M168" i="51"/>
  <c r="N168" i="51"/>
  <c r="K169" i="51"/>
  <c r="L169" i="51"/>
  <c r="M169" i="51"/>
  <c r="N169" i="51"/>
  <c r="K170" i="51"/>
  <c r="O170" i="51" s="1"/>
  <c r="L170" i="51"/>
  <c r="P170" i="51" s="1"/>
  <c r="M170" i="51"/>
  <c r="Q170" i="51" s="1"/>
  <c r="N170" i="51"/>
  <c r="R170" i="51" s="1"/>
  <c r="K171" i="51"/>
  <c r="O171" i="51" s="1"/>
  <c r="L171" i="51"/>
  <c r="P171" i="51" s="1"/>
  <c r="M171" i="51"/>
  <c r="Q171" i="51" s="1"/>
  <c r="N171" i="51"/>
  <c r="R171" i="51" s="1"/>
  <c r="K172" i="51"/>
  <c r="L172" i="51"/>
  <c r="M172" i="51"/>
  <c r="N172" i="51"/>
  <c r="K173" i="51"/>
  <c r="O173" i="51" s="1"/>
  <c r="L173" i="51"/>
  <c r="P173" i="51" s="1"/>
  <c r="M173" i="51"/>
  <c r="Q173" i="51" s="1"/>
  <c r="N173" i="51"/>
  <c r="R173" i="51" s="1"/>
  <c r="K174" i="51"/>
  <c r="O174" i="51" s="1"/>
  <c r="L174" i="51"/>
  <c r="P174" i="51" s="1"/>
  <c r="M174" i="51"/>
  <c r="Q174" i="51" s="1"/>
  <c r="N174" i="51"/>
  <c r="R174" i="51" s="1"/>
  <c r="K175" i="51"/>
  <c r="O175" i="51" s="1"/>
  <c r="L175" i="51"/>
  <c r="P175" i="51" s="1"/>
  <c r="M175" i="51"/>
  <c r="Q175" i="51" s="1"/>
  <c r="N175" i="51"/>
  <c r="R175" i="51" s="1"/>
  <c r="K176" i="51"/>
  <c r="O176" i="51" s="1"/>
  <c r="L176" i="51"/>
  <c r="P176" i="51" s="1"/>
  <c r="M176" i="51"/>
  <c r="Q176" i="51" s="1"/>
  <c r="N176" i="51"/>
  <c r="R176" i="51" s="1"/>
  <c r="K177" i="51"/>
  <c r="O177" i="51" s="1"/>
  <c r="L177" i="51"/>
  <c r="P177" i="51" s="1"/>
  <c r="M177" i="51"/>
  <c r="Q177" i="51" s="1"/>
  <c r="N177" i="51"/>
  <c r="R177" i="51" s="1"/>
  <c r="K178" i="51"/>
  <c r="O178" i="51" s="1"/>
  <c r="L178" i="51"/>
  <c r="P178" i="51" s="1"/>
  <c r="M178" i="51"/>
  <c r="Q178" i="51" s="1"/>
  <c r="N178" i="51"/>
  <c r="R178" i="51" s="1"/>
  <c r="K179" i="51"/>
  <c r="O179" i="51" s="1"/>
  <c r="L179" i="51"/>
  <c r="P179" i="51" s="1"/>
  <c r="M179" i="51"/>
  <c r="Q179" i="51" s="1"/>
  <c r="N179" i="51"/>
  <c r="R179" i="51" s="1"/>
  <c r="K180" i="51"/>
  <c r="O180" i="51" s="1"/>
  <c r="L180" i="51"/>
  <c r="P180" i="51" s="1"/>
  <c r="M180" i="51"/>
  <c r="Q180" i="51" s="1"/>
  <c r="N180" i="51"/>
  <c r="R180" i="51" s="1"/>
  <c r="K181" i="51"/>
  <c r="O181" i="51" s="1"/>
  <c r="L181" i="51"/>
  <c r="P181" i="51" s="1"/>
  <c r="M181" i="51"/>
  <c r="Q181" i="51" s="1"/>
  <c r="N181" i="51"/>
  <c r="R181" i="51" s="1"/>
  <c r="K182" i="51"/>
  <c r="O182" i="51" s="1"/>
  <c r="L182" i="51"/>
  <c r="P182" i="51" s="1"/>
  <c r="M182" i="51"/>
  <c r="Q182" i="51" s="1"/>
  <c r="N182" i="51"/>
  <c r="R182" i="51" s="1"/>
  <c r="K183" i="51"/>
  <c r="O183" i="51" s="1"/>
  <c r="L183" i="51"/>
  <c r="P183" i="51" s="1"/>
  <c r="M183" i="51"/>
  <c r="Q183" i="51" s="1"/>
  <c r="N183" i="51"/>
  <c r="R183" i="51" s="1"/>
  <c r="K184" i="51"/>
  <c r="O184" i="51" s="1"/>
  <c r="L184" i="51"/>
  <c r="P184" i="51" s="1"/>
  <c r="M184" i="51"/>
  <c r="Q184" i="51" s="1"/>
  <c r="N184" i="51"/>
  <c r="R184" i="51" s="1"/>
  <c r="L5" i="51"/>
  <c r="M5" i="51"/>
  <c r="N5" i="51"/>
  <c r="K5" i="51"/>
  <c r="K188" i="51" l="1"/>
  <c r="N188" i="51"/>
  <c r="K189" i="51"/>
  <c r="M188" i="51"/>
  <c r="L188" i="51"/>
  <c r="M189" i="51"/>
  <c r="L189" i="51"/>
  <c r="N189" i="51"/>
  <c r="N187" i="51"/>
  <c r="K187" i="51"/>
  <c r="L187" i="51"/>
  <c r="M187" i="51"/>
  <c r="I170" i="2" l="1"/>
  <c r="V4" i="9" l="1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G3" i="56" l="1"/>
  <c r="F3" i="56"/>
  <c r="E3" i="56"/>
  <c r="D3" i="56"/>
  <c r="C3" i="56"/>
  <c r="C3" i="54" l="1"/>
  <c r="T4" i="50" l="1"/>
  <c r="B60" i="50"/>
  <c r="B45" i="50"/>
  <c r="D40" i="50"/>
  <c r="E40" i="50"/>
  <c r="F40" i="50"/>
  <c r="C40" i="50"/>
  <c r="F38" i="50"/>
  <c r="E38" i="50"/>
  <c r="D38" i="50"/>
  <c r="C38" i="50"/>
  <c r="B40" i="50"/>
  <c r="B42" i="50"/>
  <c r="B43" i="50"/>
  <c r="B44" i="50"/>
  <c r="B41" i="50"/>
  <c r="F29" i="50"/>
  <c r="E29" i="50"/>
  <c r="D29" i="50"/>
  <c r="C29" i="50"/>
  <c r="F3" i="50"/>
  <c r="E3" i="50"/>
  <c r="D3" i="50"/>
  <c r="C3" i="50"/>
  <c r="T5" i="50" l="1"/>
  <c r="T6" i="50" s="1"/>
  <c r="T7" i="50" s="1"/>
  <c r="T8" i="50" s="1"/>
  <c r="T9" i="50" s="1"/>
  <c r="T10" i="50" s="1"/>
  <c r="F33" i="50" l="1"/>
  <c r="C7" i="49" l="1"/>
  <c r="Q5" i="9" l="1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4" i="9"/>
  <c r="C7" i="13"/>
  <c r="F7" i="8" l="1"/>
  <c r="G7" i="8" s="1"/>
  <c r="H7" i="8" s="1"/>
  <c r="F9" i="8"/>
  <c r="F15" i="8"/>
  <c r="G15" i="8" s="1"/>
  <c r="H15" i="8" s="1"/>
  <c r="F26" i="9" s="1"/>
  <c r="F17" i="8"/>
  <c r="G17" i="8" s="1"/>
  <c r="H17" i="8" s="1"/>
  <c r="F23" i="8"/>
  <c r="G23" i="8" s="1"/>
  <c r="H23" i="8" s="1"/>
  <c r="E6" i="8"/>
  <c r="F6" i="8" s="1"/>
  <c r="G6" i="8" s="1"/>
  <c r="H6" i="8" s="1"/>
  <c r="E7" i="8"/>
  <c r="E8" i="8"/>
  <c r="F8" i="8" s="1"/>
  <c r="G8" i="8" s="1"/>
  <c r="H8" i="8" s="1"/>
  <c r="E9" i="8"/>
  <c r="E10" i="8"/>
  <c r="F10" i="8" s="1"/>
  <c r="G10" i="8" s="1"/>
  <c r="H10" i="8" s="1"/>
  <c r="E11" i="8"/>
  <c r="F11" i="8" s="1"/>
  <c r="G11" i="8" s="1"/>
  <c r="H11" i="8" s="1"/>
  <c r="F23" i="9" s="1"/>
  <c r="E12" i="8"/>
  <c r="F12" i="8" s="1"/>
  <c r="G12" i="8" s="1"/>
  <c r="H12" i="8" s="1"/>
  <c r="E13" i="8"/>
  <c r="E14" i="8"/>
  <c r="E15" i="8"/>
  <c r="E16" i="8"/>
  <c r="F16" i="8" s="1"/>
  <c r="G16" i="8" s="1"/>
  <c r="H16" i="8" s="1"/>
  <c r="E17" i="8"/>
  <c r="E18" i="8"/>
  <c r="F18" i="8" s="1"/>
  <c r="E19" i="8"/>
  <c r="F19" i="8" s="1"/>
  <c r="G19" i="8" s="1"/>
  <c r="H19" i="8" s="1"/>
  <c r="E20" i="8"/>
  <c r="F20" i="8" s="1"/>
  <c r="G20" i="8" s="1"/>
  <c r="H20" i="8" s="1"/>
  <c r="E21" i="8"/>
  <c r="E22" i="8"/>
  <c r="F22" i="8" s="1"/>
  <c r="G22" i="8" s="1"/>
  <c r="H22" i="8" s="1"/>
  <c r="E23" i="8"/>
  <c r="E5" i="8"/>
  <c r="F5" i="8" s="1"/>
  <c r="G5" i="8" s="1"/>
  <c r="H5" i="8" s="1"/>
  <c r="F25" i="9" s="1"/>
  <c r="G14" i="8" l="1"/>
  <c r="H14" i="8" s="1"/>
  <c r="H9" i="8"/>
  <c r="F14" i="8"/>
  <c r="F21" i="8"/>
  <c r="G21" i="8" s="1"/>
  <c r="H21" i="8" s="1"/>
  <c r="F4" i="9" s="1"/>
  <c r="F13" i="8"/>
  <c r="G13" i="8" s="1"/>
  <c r="H13" i="8" s="1"/>
  <c r="F27" i="9" s="1"/>
  <c r="G9" i="8"/>
  <c r="G18" i="8"/>
  <c r="H18" i="8" s="1"/>
  <c r="G23" i="9"/>
  <c r="X23" i="9" s="1"/>
  <c r="W23" i="9"/>
  <c r="F6" i="9"/>
  <c r="F24" i="9"/>
  <c r="G25" i="9"/>
  <c r="X25" i="9" s="1"/>
  <c r="W25" i="9"/>
  <c r="G26" i="9"/>
  <c r="X26" i="9" s="1"/>
  <c r="W26" i="9"/>
  <c r="D5" i="49"/>
  <c r="G27" i="9" l="1"/>
  <c r="X27" i="9" s="1"/>
  <c r="W27" i="9"/>
  <c r="W4" i="9"/>
  <c r="P4" i="9"/>
  <c r="G24" i="9"/>
  <c r="X24" i="9" s="1"/>
  <c r="W24" i="9"/>
  <c r="C8" i="49"/>
  <c r="D8" i="49" l="1"/>
  <c r="E6" i="4"/>
  <c r="E7" i="4"/>
  <c r="E8" i="4"/>
  <c r="E9" i="4"/>
  <c r="E10" i="4"/>
  <c r="E11" i="4"/>
  <c r="E12" i="4"/>
  <c r="E13" i="4"/>
  <c r="E14" i="4"/>
  <c r="E15" i="4"/>
  <c r="E16" i="4"/>
  <c r="E19" i="4"/>
  <c r="E21" i="4"/>
  <c r="E23" i="4"/>
  <c r="E25" i="4"/>
  <c r="E5" i="4"/>
  <c r="L17" i="9"/>
  <c r="M17" i="9" s="1"/>
  <c r="N17" i="9" s="1"/>
  <c r="L18" i="9"/>
  <c r="M18" i="9" s="1"/>
  <c r="N18" i="9" s="1"/>
  <c r="L19" i="9"/>
  <c r="M19" i="9" s="1"/>
  <c r="N19" i="9" s="1"/>
  <c r="L20" i="9"/>
  <c r="M20" i="9" s="1"/>
  <c r="N20" i="9" s="1"/>
  <c r="L21" i="9"/>
  <c r="M21" i="9" s="1"/>
  <c r="N21" i="9" s="1"/>
  <c r="L22" i="9"/>
  <c r="M22" i="9" s="1"/>
  <c r="N22" i="9" s="1"/>
  <c r="L16" i="9"/>
  <c r="M16" i="9" s="1"/>
  <c r="N16" i="9" s="1"/>
  <c r="C52" i="30"/>
  <c r="C52" i="29"/>
  <c r="E22" i="4"/>
  <c r="E18" i="4"/>
  <c r="E20" i="4"/>
  <c r="H23" i="4"/>
  <c r="H22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4" i="4"/>
  <c r="H25" i="4"/>
  <c r="H5" i="4"/>
  <c r="E26" i="4" l="1"/>
  <c r="D12" i="49"/>
  <c r="N28" i="9"/>
  <c r="G161" i="2"/>
  <c r="I176" i="2"/>
  <c r="C9" i="50" l="1"/>
  <c r="C6" i="56" s="1"/>
  <c r="D9" i="50"/>
  <c r="D6" i="56" s="1"/>
  <c r="F44" i="50"/>
  <c r="F9" i="50"/>
  <c r="F6" i="56" s="1"/>
  <c r="C44" i="50"/>
  <c r="D44" i="50"/>
  <c r="E44" i="50"/>
  <c r="G6" i="56"/>
  <c r="E9" i="50"/>
  <c r="E6" i="56" s="1"/>
  <c r="D37" i="34" l="1"/>
  <c r="D38" i="34"/>
  <c r="E46" i="34"/>
  <c r="D46" i="34"/>
  <c r="E45" i="34"/>
  <c r="D45" i="34"/>
  <c r="E44" i="34"/>
  <c r="D44" i="34"/>
  <c r="E43" i="34"/>
  <c r="D43" i="34"/>
  <c r="E42" i="34"/>
  <c r="D42" i="34"/>
  <c r="E41" i="34"/>
  <c r="D41" i="34"/>
  <c r="E40" i="34"/>
  <c r="D40" i="34"/>
  <c r="E39" i="34"/>
  <c r="D39" i="34"/>
  <c r="E38" i="34"/>
  <c r="E37" i="34"/>
  <c r="F30" i="34"/>
  <c r="E30" i="34"/>
  <c r="F29" i="34"/>
  <c r="E29" i="34"/>
  <c r="F28" i="34"/>
  <c r="E28" i="34"/>
  <c r="F27" i="34"/>
  <c r="E27" i="34"/>
  <c r="F26" i="34"/>
  <c r="E26" i="34"/>
  <c r="F25" i="34"/>
  <c r="E25" i="34"/>
  <c r="F24" i="34"/>
  <c r="E24" i="34"/>
  <c r="F23" i="34"/>
  <c r="E23" i="34"/>
  <c r="F22" i="34"/>
  <c r="E22" i="34"/>
  <c r="E21" i="34"/>
  <c r="F21" i="34" s="1"/>
  <c r="K15" i="34"/>
  <c r="I15" i="34"/>
  <c r="G15" i="34"/>
  <c r="H15" i="34" s="1"/>
  <c r="K14" i="34"/>
  <c r="G14" i="34"/>
  <c r="I14" i="34" s="1"/>
  <c r="K13" i="34"/>
  <c r="H13" i="34"/>
  <c r="G13" i="34"/>
  <c r="I13" i="34" s="1"/>
  <c r="K12" i="34"/>
  <c r="G12" i="34"/>
  <c r="I12" i="34" s="1"/>
  <c r="K11" i="34"/>
  <c r="I11" i="34"/>
  <c r="H11" i="34"/>
  <c r="G11" i="34"/>
  <c r="K10" i="34"/>
  <c r="G10" i="34"/>
  <c r="I10" i="34" s="1"/>
  <c r="K9" i="34"/>
  <c r="H9" i="34"/>
  <c r="G9" i="34"/>
  <c r="I9" i="34" s="1"/>
  <c r="K8" i="34"/>
  <c r="G8" i="34"/>
  <c r="I8" i="34" s="1"/>
  <c r="G7" i="34"/>
  <c r="G6" i="34"/>
  <c r="F31" i="34" l="1"/>
  <c r="C51" i="34" s="1"/>
  <c r="E47" i="34"/>
  <c r="C52" i="34" s="1"/>
  <c r="H8" i="34"/>
  <c r="H10" i="34"/>
  <c r="H12" i="34"/>
  <c r="H14" i="34"/>
  <c r="E46" i="32" l="1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F30" i="32"/>
  <c r="E30" i="32"/>
  <c r="F29" i="32"/>
  <c r="E29" i="32"/>
  <c r="F28" i="32"/>
  <c r="E28" i="32"/>
  <c r="F27" i="32"/>
  <c r="E27" i="32"/>
  <c r="F26" i="32"/>
  <c r="E26" i="32"/>
  <c r="F25" i="32"/>
  <c r="E25" i="32"/>
  <c r="F24" i="32"/>
  <c r="E24" i="32"/>
  <c r="K15" i="32"/>
  <c r="G15" i="32"/>
  <c r="I15" i="32" s="1"/>
  <c r="K14" i="32"/>
  <c r="G14" i="32"/>
  <c r="I14" i="32" s="1"/>
  <c r="K13" i="32"/>
  <c r="G13" i="32"/>
  <c r="I13" i="32" s="1"/>
  <c r="K12" i="32"/>
  <c r="G12" i="32"/>
  <c r="I12" i="32" s="1"/>
  <c r="K11" i="32"/>
  <c r="G11" i="32"/>
  <c r="I11" i="32" s="1"/>
  <c r="K10" i="32"/>
  <c r="G10" i="32"/>
  <c r="I10" i="32" s="1"/>
  <c r="K9" i="32"/>
  <c r="G9" i="32"/>
  <c r="H9" i="32" s="1"/>
  <c r="K8" i="32"/>
  <c r="G8" i="32"/>
  <c r="I8" i="32" s="1"/>
  <c r="K7" i="32"/>
  <c r="G7" i="32"/>
  <c r="G6" i="32"/>
  <c r="E46" i="31"/>
  <c r="D46" i="31"/>
  <c r="E45" i="31"/>
  <c r="D45" i="31"/>
  <c r="E44" i="31"/>
  <c r="D44" i="31"/>
  <c r="E43" i="31"/>
  <c r="D43" i="31"/>
  <c r="E42" i="31"/>
  <c r="D42" i="31"/>
  <c r="E41" i="31"/>
  <c r="D41" i="31"/>
  <c r="E40" i="31"/>
  <c r="D40" i="31"/>
  <c r="E39" i="31"/>
  <c r="D39" i="31"/>
  <c r="E38" i="31"/>
  <c r="D38" i="31"/>
  <c r="E37" i="31"/>
  <c r="D37" i="31"/>
  <c r="F30" i="31"/>
  <c r="E30" i="31"/>
  <c r="F29" i="31"/>
  <c r="E29" i="31"/>
  <c r="F28" i="31"/>
  <c r="E28" i="31"/>
  <c r="F27" i="31"/>
  <c r="E27" i="31"/>
  <c r="F26" i="31"/>
  <c r="E26" i="31"/>
  <c r="F25" i="31"/>
  <c r="E25" i="31"/>
  <c r="F24" i="31"/>
  <c r="E24" i="31"/>
  <c r="F23" i="31"/>
  <c r="E23" i="31"/>
  <c r="F22" i="31"/>
  <c r="E22" i="31"/>
  <c r="K15" i="31"/>
  <c r="G15" i="31"/>
  <c r="I15" i="31" s="1"/>
  <c r="K14" i="31"/>
  <c r="G14" i="31"/>
  <c r="I14" i="31" s="1"/>
  <c r="K13" i="31"/>
  <c r="G13" i="31"/>
  <c r="I13" i="31" s="1"/>
  <c r="K12" i="31"/>
  <c r="G12" i="31"/>
  <c r="I12" i="31" s="1"/>
  <c r="K11" i="31"/>
  <c r="G11" i="31"/>
  <c r="I11" i="31" s="1"/>
  <c r="K10" i="31"/>
  <c r="G10" i="31"/>
  <c r="I10" i="31" s="1"/>
  <c r="K9" i="31"/>
  <c r="G9" i="31"/>
  <c r="I9" i="31" s="1"/>
  <c r="K8" i="31"/>
  <c r="G8" i="31"/>
  <c r="I8" i="31" s="1"/>
  <c r="K7" i="31"/>
  <c r="G7" i="31"/>
  <c r="I7" i="31" s="1"/>
  <c r="K6" i="31"/>
  <c r="G6" i="31"/>
  <c r="I173" i="2"/>
  <c r="I174" i="2"/>
  <c r="E47" i="32" l="1"/>
  <c r="C52" i="32" s="1"/>
  <c r="E47" i="31"/>
  <c r="C52" i="31" s="1"/>
  <c r="H11" i="32"/>
  <c r="H7" i="32"/>
  <c r="I7" i="32" s="1"/>
  <c r="I9" i="32"/>
  <c r="H13" i="32"/>
  <c r="H15" i="32"/>
  <c r="H8" i="32"/>
  <c r="H10" i="32"/>
  <c r="H12" i="32"/>
  <c r="H14" i="32"/>
  <c r="H15" i="31"/>
  <c r="H9" i="31"/>
  <c r="H13" i="31"/>
  <c r="H7" i="31"/>
  <c r="H11" i="31"/>
  <c r="H8" i="31"/>
  <c r="H10" i="31"/>
  <c r="H12" i="31"/>
  <c r="H14" i="31"/>
  <c r="E46" i="30" l="1"/>
  <c r="D46" i="30"/>
  <c r="E45" i="30"/>
  <c r="D45" i="30"/>
  <c r="E44" i="30"/>
  <c r="D44" i="30"/>
  <c r="E43" i="30"/>
  <c r="D43" i="30"/>
  <c r="E42" i="30"/>
  <c r="D42" i="30"/>
  <c r="E41" i="30"/>
  <c r="D41" i="30"/>
  <c r="E40" i="30"/>
  <c r="D40" i="30"/>
  <c r="E39" i="30"/>
  <c r="D39" i="30"/>
  <c r="E38" i="30"/>
  <c r="D38" i="30"/>
  <c r="E37" i="30"/>
  <c r="D37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K15" i="30"/>
  <c r="I15" i="30"/>
  <c r="H15" i="30"/>
  <c r="G15" i="30"/>
  <c r="K14" i="30"/>
  <c r="H14" i="30"/>
  <c r="G14" i="30"/>
  <c r="I14" i="30" s="1"/>
  <c r="K13" i="30"/>
  <c r="I13" i="30"/>
  <c r="G13" i="30"/>
  <c r="H13" i="30" s="1"/>
  <c r="K12" i="30"/>
  <c r="H12" i="30"/>
  <c r="G12" i="30"/>
  <c r="I12" i="30" s="1"/>
  <c r="K11" i="30"/>
  <c r="I11" i="30"/>
  <c r="H11" i="30"/>
  <c r="G11" i="30"/>
  <c r="K10" i="30"/>
  <c r="G10" i="30"/>
  <c r="I10" i="30" s="1"/>
  <c r="K9" i="30"/>
  <c r="G9" i="30"/>
  <c r="I9" i="30" s="1"/>
  <c r="K8" i="30"/>
  <c r="G8" i="30"/>
  <c r="I8" i="30" s="1"/>
  <c r="K7" i="30"/>
  <c r="G7" i="30"/>
  <c r="I7" i="30" s="1"/>
  <c r="K6" i="30"/>
  <c r="G6" i="30"/>
  <c r="H6" i="30" s="1"/>
  <c r="G104" i="2"/>
  <c r="I130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1" i="2"/>
  <c r="K172" i="2"/>
  <c r="K7" i="26" s="1"/>
  <c r="F46" i="28"/>
  <c r="F45" i="28"/>
  <c r="F44" i="28"/>
  <c r="F43" i="28"/>
  <c r="F42" i="28"/>
  <c r="F41" i="28"/>
  <c r="F40" i="28"/>
  <c r="F39" i="28"/>
  <c r="F38" i="28"/>
  <c r="E46" i="29"/>
  <c r="D46" i="29"/>
  <c r="E45" i="29"/>
  <c r="D45" i="29"/>
  <c r="E44" i="29"/>
  <c r="D44" i="29"/>
  <c r="E43" i="29"/>
  <c r="D43" i="29"/>
  <c r="E42" i="29"/>
  <c r="D42" i="29"/>
  <c r="E41" i="29"/>
  <c r="D41" i="29"/>
  <c r="E40" i="29"/>
  <c r="D40" i="29"/>
  <c r="E39" i="29"/>
  <c r="D39" i="29"/>
  <c r="E38" i="29"/>
  <c r="D38" i="29"/>
  <c r="E37" i="29"/>
  <c r="D37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K15" i="29"/>
  <c r="I15" i="29"/>
  <c r="G15" i="29"/>
  <c r="H15" i="29" s="1"/>
  <c r="K14" i="29"/>
  <c r="G14" i="29"/>
  <c r="I14" i="29" s="1"/>
  <c r="K13" i="29"/>
  <c r="G13" i="29"/>
  <c r="H13" i="29" s="1"/>
  <c r="K12" i="29"/>
  <c r="G12" i="29"/>
  <c r="I12" i="29" s="1"/>
  <c r="G11" i="29"/>
  <c r="G10" i="29"/>
  <c r="G9" i="29"/>
  <c r="K8" i="29"/>
  <c r="G8" i="29"/>
  <c r="K7" i="29"/>
  <c r="G7" i="29"/>
  <c r="G6" i="29"/>
  <c r="E46" i="28"/>
  <c r="E45" i="28"/>
  <c r="E44" i="28"/>
  <c r="E43" i="28"/>
  <c r="E42" i="28"/>
  <c r="E41" i="28"/>
  <c r="E40" i="28"/>
  <c r="E39" i="28"/>
  <c r="E38" i="28"/>
  <c r="F30" i="28"/>
  <c r="E30" i="28"/>
  <c r="F29" i="28"/>
  <c r="E29" i="28"/>
  <c r="F28" i="28"/>
  <c r="E28" i="28"/>
  <c r="F27" i="28"/>
  <c r="E27" i="28"/>
  <c r="F26" i="28"/>
  <c r="E26" i="28"/>
  <c r="F25" i="28"/>
  <c r="E25" i="28"/>
  <c r="F24" i="28"/>
  <c r="E24" i="28"/>
  <c r="F23" i="28"/>
  <c r="E23" i="28"/>
  <c r="K15" i="28"/>
  <c r="G15" i="28"/>
  <c r="I15" i="28" s="1"/>
  <c r="K14" i="28"/>
  <c r="G14" i="28"/>
  <c r="I14" i="28" s="1"/>
  <c r="K13" i="28"/>
  <c r="G13" i="28"/>
  <c r="I13" i="28" s="1"/>
  <c r="K12" i="28"/>
  <c r="G12" i="28"/>
  <c r="I12" i="28" s="1"/>
  <c r="K11" i="28"/>
  <c r="G11" i="28"/>
  <c r="I11" i="28" s="1"/>
  <c r="K10" i="28"/>
  <c r="G10" i="28"/>
  <c r="I10" i="28" s="1"/>
  <c r="K9" i="28"/>
  <c r="G9" i="28"/>
  <c r="I9" i="28" s="1"/>
  <c r="K8" i="28"/>
  <c r="G8" i="28"/>
  <c r="I8" i="28" s="1"/>
  <c r="K7" i="28"/>
  <c r="G7" i="28"/>
  <c r="I7" i="28" s="1"/>
  <c r="G6" i="28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F30" i="26"/>
  <c r="E30" i="26"/>
  <c r="F29" i="26"/>
  <c r="E29" i="26"/>
  <c r="F28" i="26"/>
  <c r="E28" i="26"/>
  <c r="F27" i="26"/>
  <c r="E27" i="26"/>
  <c r="F26" i="26"/>
  <c r="E26" i="26"/>
  <c r="F25" i="26"/>
  <c r="E25" i="26"/>
  <c r="F24" i="26"/>
  <c r="E24" i="26"/>
  <c r="F23" i="26"/>
  <c r="E23" i="26"/>
  <c r="F22" i="26"/>
  <c r="E22" i="26"/>
  <c r="F21" i="26"/>
  <c r="E21" i="26"/>
  <c r="K15" i="26"/>
  <c r="G15" i="26"/>
  <c r="I15" i="26" s="1"/>
  <c r="K14" i="26"/>
  <c r="G14" i="26"/>
  <c r="I14" i="26" s="1"/>
  <c r="K13" i="26"/>
  <c r="G13" i="26"/>
  <c r="I13" i="26" s="1"/>
  <c r="K12" i="26"/>
  <c r="G12" i="26"/>
  <c r="I12" i="26" s="1"/>
  <c r="K11" i="26"/>
  <c r="G11" i="26"/>
  <c r="I11" i="26" s="1"/>
  <c r="K10" i="26"/>
  <c r="G10" i="26"/>
  <c r="I10" i="26" s="1"/>
  <c r="K9" i="26"/>
  <c r="G9" i="26"/>
  <c r="I9" i="26" s="1"/>
  <c r="K8" i="26"/>
  <c r="G8" i="26"/>
  <c r="I8" i="26" s="1"/>
  <c r="G7" i="26"/>
  <c r="G6" i="26"/>
  <c r="E46" i="25"/>
  <c r="D46" i="25"/>
  <c r="E45" i="25"/>
  <c r="D45" i="25"/>
  <c r="E44" i="25"/>
  <c r="D44" i="25"/>
  <c r="E43" i="25"/>
  <c r="D43" i="25"/>
  <c r="E42" i="25"/>
  <c r="D42" i="25"/>
  <c r="E41" i="25"/>
  <c r="D41" i="25"/>
  <c r="E40" i="25"/>
  <c r="D40" i="25"/>
  <c r="E39" i="25"/>
  <c r="D39" i="25"/>
  <c r="E38" i="25"/>
  <c r="D38" i="25"/>
  <c r="E37" i="25"/>
  <c r="D37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F21" i="25"/>
  <c r="E21" i="25"/>
  <c r="K15" i="25"/>
  <c r="I15" i="25"/>
  <c r="G15" i="25"/>
  <c r="H15" i="25" s="1"/>
  <c r="K14" i="25"/>
  <c r="G14" i="25"/>
  <c r="I14" i="25" s="1"/>
  <c r="K13" i="25"/>
  <c r="G13" i="25"/>
  <c r="H13" i="25" s="1"/>
  <c r="K12" i="25"/>
  <c r="G12" i="25"/>
  <c r="I12" i="25" s="1"/>
  <c r="K11" i="25"/>
  <c r="G11" i="25"/>
  <c r="H11" i="25" s="1"/>
  <c r="K10" i="25"/>
  <c r="G10" i="25"/>
  <c r="I10" i="25" s="1"/>
  <c r="K9" i="25"/>
  <c r="G9" i="25"/>
  <c r="H9" i="25" s="1"/>
  <c r="K8" i="25"/>
  <c r="G8" i="25"/>
  <c r="K7" i="25"/>
  <c r="G7" i="25"/>
  <c r="G6" i="25"/>
  <c r="E46" i="22"/>
  <c r="D46" i="22"/>
  <c r="E45" i="22"/>
  <c r="D45" i="22"/>
  <c r="E44" i="22"/>
  <c r="D44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F30" i="22"/>
  <c r="E30" i="22"/>
  <c r="F29" i="22"/>
  <c r="E29" i="22"/>
  <c r="F28" i="22"/>
  <c r="E28" i="22"/>
  <c r="F27" i="22"/>
  <c r="E27" i="22"/>
  <c r="F26" i="22"/>
  <c r="E26" i="22"/>
  <c r="F25" i="22"/>
  <c r="E25" i="22"/>
  <c r="F24" i="22"/>
  <c r="E24" i="22"/>
  <c r="F23" i="22"/>
  <c r="E23" i="22"/>
  <c r="F22" i="22"/>
  <c r="E22" i="22"/>
  <c r="F21" i="22"/>
  <c r="E21" i="22"/>
  <c r="K15" i="22"/>
  <c r="G15" i="22"/>
  <c r="H15" i="22" s="1"/>
  <c r="K14" i="22"/>
  <c r="G14" i="22"/>
  <c r="I14" i="22" s="1"/>
  <c r="K13" i="22"/>
  <c r="I13" i="22"/>
  <c r="G13" i="22"/>
  <c r="H13" i="22" s="1"/>
  <c r="K12" i="22"/>
  <c r="G12" i="22"/>
  <c r="I12" i="22" s="1"/>
  <c r="K11" i="22"/>
  <c r="I11" i="22"/>
  <c r="G11" i="22"/>
  <c r="H11" i="22" s="1"/>
  <c r="K10" i="22"/>
  <c r="G10" i="22"/>
  <c r="I10" i="22" s="1"/>
  <c r="K9" i="22"/>
  <c r="I9" i="22"/>
  <c r="G9" i="22"/>
  <c r="H9" i="22" s="1"/>
  <c r="K8" i="22"/>
  <c r="G8" i="22"/>
  <c r="I8" i="22" s="1"/>
  <c r="G7" i="22"/>
  <c r="G6" i="22"/>
  <c r="E46" i="20"/>
  <c r="D46" i="20"/>
  <c r="E45" i="20"/>
  <c r="D45" i="20"/>
  <c r="E44" i="20"/>
  <c r="D44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F30" i="20"/>
  <c r="E30" i="20"/>
  <c r="F29" i="20"/>
  <c r="E29" i="20"/>
  <c r="F28" i="20"/>
  <c r="E28" i="20"/>
  <c r="F27" i="20"/>
  <c r="E27" i="20"/>
  <c r="F26" i="20"/>
  <c r="E26" i="20"/>
  <c r="F25" i="20"/>
  <c r="E25" i="20"/>
  <c r="F24" i="20"/>
  <c r="E24" i="20"/>
  <c r="F23" i="20"/>
  <c r="E23" i="20"/>
  <c r="F22" i="20"/>
  <c r="E22" i="20"/>
  <c r="E21" i="20"/>
  <c r="F21" i="20" s="1"/>
  <c r="K15" i="20"/>
  <c r="G15" i="20"/>
  <c r="I15" i="20" s="1"/>
  <c r="K14" i="20"/>
  <c r="G14" i="20"/>
  <c r="I14" i="20" s="1"/>
  <c r="K13" i="20"/>
  <c r="G13" i="20"/>
  <c r="I13" i="20" s="1"/>
  <c r="K12" i="20"/>
  <c r="G12" i="20"/>
  <c r="I12" i="20" s="1"/>
  <c r="K11" i="20"/>
  <c r="G11" i="20"/>
  <c r="I11" i="20" s="1"/>
  <c r="K10" i="20"/>
  <c r="G10" i="20"/>
  <c r="I10" i="20" s="1"/>
  <c r="K9" i="20"/>
  <c r="G9" i="20"/>
  <c r="I9" i="20" s="1"/>
  <c r="K8" i="20"/>
  <c r="G8" i="20"/>
  <c r="I8" i="20" s="1"/>
  <c r="K7" i="20"/>
  <c r="G7" i="20"/>
  <c r="K6" i="20"/>
  <c r="G6" i="20"/>
  <c r="E46" i="19"/>
  <c r="D46" i="19"/>
  <c r="E45" i="19"/>
  <c r="D45" i="19"/>
  <c r="E44" i="19"/>
  <c r="D44" i="19"/>
  <c r="E43" i="19"/>
  <c r="D43" i="19"/>
  <c r="E42" i="19"/>
  <c r="D42" i="19"/>
  <c r="E41" i="19"/>
  <c r="D41" i="19"/>
  <c r="E40" i="19"/>
  <c r="D40" i="19"/>
  <c r="E39" i="19"/>
  <c r="D39" i="19"/>
  <c r="E38" i="19"/>
  <c r="D38" i="19"/>
  <c r="E37" i="19"/>
  <c r="D37" i="19"/>
  <c r="F30" i="19"/>
  <c r="E30" i="19"/>
  <c r="F29" i="19"/>
  <c r="E29" i="19"/>
  <c r="F28" i="19"/>
  <c r="E28" i="19"/>
  <c r="F27" i="19"/>
  <c r="E27" i="19"/>
  <c r="E26" i="19"/>
  <c r="F26" i="19" s="1"/>
  <c r="E25" i="19"/>
  <c r="F25" i="19" s="1"/>
  <c r="E24" i="19"/>
  <c r="F24" i="19" s="1"/>
  <c r="F23" i="19"/>
  <c r="E23" i="19"/>
  <c r="E22" i="19"/>
  <c r="F22" i="19" s="1"/>
  <c r="K15" i="19"/>
  <c r="G15" i="19"/>
  <c r="H15" i="19" s="1"/>
  <c r="K14" i="19"/>
  <c r="G14" i="19"/>
  <c r="I14" i="19" s="1"/>
  <c r="K13" i="19"/>
  <c r="G13" i="19"/>
  <c r="H13" i="19" s="1"/>
  <c r="K12" i="19"/>
  <c r="G12" i="19"/>
  <c r="I12" i="19" s="1"/>
  <c r="K11" i="19"/>
  <c r="G11" i="19"/>
  <c r="H11" i="19" s="1"/>
  <c r="I11" i="19" s="1"/>
  <c r="K10" i="19"/>
  <c r="G10" i="19"/>
  <c r="K9" i="19"/>
  <c r="G9" i="19"/>
  <c r="H9" i="19" s="1"/>
  <c r="I9" i="19" s="1"/>
  <c r="K8" i="19"/>
  <c r="G8" i="19"/>
  <c r="G7" i="19"/>
  <c r="G6" i="19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F30" i="18"/>
  <c r="E30" i="18"/>
  <c r="F29" i="18"/>
  <c r="E29" i="18"/>
  <c r="F28" i="18"/>
  <c r="E28" i="18"/>
  <c r="K15" i="18"/>
  <c r="I15" i="18"/>
  <c r="H15" i="18"/>
  <c r="G15" i="18"/>
  <c r="K14" i="18"/>
  <c r="G14" i="18"/>
  <c r="I14" i="18" s="1"/>
  <c r="K13" i="18"/>
  <c r="G13" i="18"/>
  <c r="I13" i="18" s="1"/>
  <c r="K12" i="18"/>
  <c r="G12" i="18"/>
  <c r="I12" i="18" s="1"/>
  <c r="G11" i="18"/>
  <c r="G10" i="18"/>
  <c r="G9" i="18"/>
  <c r="G8" i="18"/>
  <c r="G7" i="18"/>
  <c r="G6" i="18"/>
  <c r="F11" i="5"/>
  <c r="G47" i="5"/>
  <c r="E22" i="29" s="1"/>
  <c r="F22" i="29" s="1"/>
  <c r="G48" i="5"/>
  <c r="E26" i="18" s="1"/>
  <c r="F26" i="18" s="1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D25" i="13"/>
  <c r="D26" i="13"/>
  <c r="D27" i="13"/>
  <c r="D28" i="13"/>
  <c r="D29" i="13"/>
  <c r="D30" i="13"/>
  <c r="F46" i="5"/>
  <c r="G46" i="5" s="1"/>
  <c r="J9" i="13"/>
  <c r="J10" i="13"/>
  <c r="J11" i="13"/>
  <c r="J12" i="13"/>
  <c r="J13" i="13"/>
  <c r="J14" i="13"/>
  <c r="J15" i="13"/>
  <c r="I13" i="25" l="1"/>
  <c r="I13" i="29"/>
  <c r="I15" i="19"/>
  <c r="I11" i="25"/>
  <c r="H9" i="30"/>
  <c r="H13" i="18"/>
  <c r="I13" i="19"/>
  <c r="I15" i="22"/>
  <c r="I9" i="25"/>
  <c r="E21" i="30"/>
  <c r="F21" i="30" s="1"/>
  <c r="F31" i="30" s="1"/>
  <c r="C51" i="30" s="1"/>
  <c r="E22" i="28"/>
  <c r="F22" i="28" s="1"/>
  <c r="K6" i="61"/>
  <c r="E21" i="29"/>
  <c r="F21" i="29" s="1"/>
  <c r="F31" i="29" s="1"/>
  <c r="C51" i="29" s="1"/>
  <c r="E21" i="31"/>
  <c r="F21" i="31" s="1"/>
  <c r="F31" i="31" s="1"/>
  <c r="C51" i="31" s="1"/>
  <c r="E23" i="32"/>
  <c r="F23" i="32" s="1"/>
  <c r="D23" i="13"/>
  <c r="E47" i="30"/>
  <c r="H7" i="30"/>
  <c r="H10" i="30"/>
  <c r="H8" i="30"/>
  <c r="I6" i="30"/>
  <c r="I16" i="30" s="1"/>
  <c r="C50" i="30" s="1"/>
  <c r="F31" i="25"/>
  <c r="C51" i="25" s="1"/>
  <c r="F31" i="26"/>
  <c r="C51" i="26" s="1"/>
  <c r="F31" i="22"/>
  <c r="C51" i="22" s="1"/>
  <c r="F31" i="20"/>
  <c r="E47" i="22"/>
  <c r="C52" i="22" s="1"/>
  <c r="E47" i="25"/>
  <c r="C52" i="25" s="1"/>
  <c r="E47" i="26"/>
  <c r="C52" i="26" s="1"/>
  <c r="E47" i="29"/>
  <c r="E47" i="19"/>
  <c r="C52" i="19" s="1"/>
  <c r="E47" i="18"/>
  <c r="E47" i="20"/>
  <c r="H8" i="29"/>
  <c r="I8" i="29" s="1"/>
  <c r="H12" i="29"/>
  <c r="H14" i="29"/>
  <c r="H7" i="28"/>
  <c r="H9" i="28"/>
  <c r="H11" i="28"/>
  <c r="H13" i="28"/>
  <c r="H15" i="28"/>
  <c r="H8" i="28"/>
  <c r="H12" i="28"/>
  <c r="H14" i="28"/>
  <c r="H10" i="28"/>
  <c r="H13" i="26"/>
  <c r="H11" i="26"/>
  <c r="H8" i="26"/>
  <c r="H10" i="26"/>
  <c r="H12" i="26"/>
  <c r="H14" i="26"/>
  <c r="H9" i="26"/>
  <c r="H15" i="26"/>
  <c r="H8" i="25"/>
  <c r="I8" i="25" s="1"/>
  <c r="H10" i="25"/>
  <c r="H14" i="25"/>
  <c r="H12" i="25"/>
  <c r="H10" i="22"/>
  <c r="H8" i="22"/>
  <c r="H12" i="22"/>
  <c r="H14" i="22"/>
  <c r="H7" i="20"/>
  <c r="I7" i="20" s="1"/>
  <c r="H9" i="20"/>
  <c r="H11" i="20"/>
  <c r="H13" i="20"/>
  <c r="H15" i="20"/>
  <c r="H6" i="20"/>
  <c r="I6" i="20" s="1"/>
  <c r="H8" i="20"/>
  <c r="H10" i="20"/>
  <c r="H12" i="20"/>
  <c r="H14" i="20"/>
  <c r="H12" i="19"/>
  <c r="H8" i="19"/>
  <c r="I8" i="19" s="1"/>
  <c r="H10" i="19"/>
  <c r="I10" i="19" s="1"/>
  <c r="H14" i="19"/>
  <c r="H12" i="18"/>
  <c r="H14" i="18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4" i="5"/>
  <c r="G25" i="5"/>
  <c r="G26" i="5"/>
  <c r="G34" i="5"/>
  <c r="G36" i="5"/>
  <c r="G37" i="5"/>
  <c r="G38" i="5"/>
  <c r="G39" i="5"/>
  <c r="G41" i="5"/>
  <c r="G42" i="5"/>
  <c r="G43" i="5"/>
  <c r="E22" i="32" s="1"/>
  <c r="F22" i="32" s="1"/>
  <c r="G44" i="5"/>
  <c r="G8" i="5"/>
  <c r="I13" i="2"/>
  <c r="I14" i="2"/>
  <c r="I15" i="2"/>
  <c r="I16" i="2"/>
  <c r="I19" i="2"/>
  <c r="I20" i="2"/>
  <c r="I23" i="2"/>
  <c r="I24" i="2"/>
  <c r="I25" i="2"/>
  <c r="I26" i="2"/>
  <c r="I27" i="2"/>
  <c r="I28" i="2"/>
  <c r="I29" i="2"/>
  <c r="I30" i="2"/>
  <c r="I33" i="2"/>
  <c r="I34" i="2"/>
  <c r="I36" i="2"/>
  <c r="I38" i="2"/>
  <c r="I40" i="2"/>
  <c r="I42" i="2"/>
  <c r="I43" i="2"/>
  <c r="I48" i="2"/>
  <c r="I50" i="2"/>
  <c r="I51" i="2"/>
  <c r="I52" i="2"/>
  <c r="I53" i="2"/>
  <c r="I54" i="2"/>
  <c r="I55" i="2"/>
  <c r="I56" i="2"/>
  <c r="I57" i="2"/>
  <c r="I58" i="2"/>
  <c r="I59" i="2"/>
  <c r="I63" i="2"/>
  <c r="I64" i="2"/>
  <c r="I65" i="2"/>
  <c r="I67" i="2"/>
  <c r="I68" i="2"/>
  <c r="I70" i="2"/>
  <c r="I71" i="2"/>
  <c r="I74" i="2"/>
  <c r="I77" i="2"/>
  <c r="I78" i="2"/>
  <c r="I79" i="2"/>
  <c r="I80" i="2"/>
  <c r="I82" i="2"/>
  <c r="I85" i="2"/>
  <c r="I86" i="2"/>
  <c r="I91" i="2"/>
  <c r="I92" i="2"/>
  <c r="I93" i="2"/>
  <c r="I94" i="2"/>
  <c r="I95" i="2"/>
  <c r="I96" i="2"/>
  <c r="I97" i="2"/>
  <c r="I98" i="2"/>
  <c r="I99" i="2"/>
  <c r="I100" i="2"/>
  <c r="H6" i="31" s="1"/>
  <c r="I6" i="31" s="1"/>
  <c r="I16" i="31" s="1"/>
  <c r="C50" i="31" s="1"/>
  <c r="I107" i="2"/>
  <c r="H6" i="32" s="1"/>
  <c r="I6" i="32" s="1"/>
  <c r="I16" i="32" s="1"/>
  <c r="C50" i="32" s="1"/>
  <c r="I108" i="2"/>
  <c r="I109" i="2"/>
  <c r="I110" i="2"/>
  <c r="I112" i="2"/>
  <c r="I116" i="2"/>
  <c r="I118" i="2"/>
  <c r="I119" i="2"/>
  <c r="I120" i="2"/>
  <c r="I122" i="2"/>
  <c r="I123" i="2"/>
  <c r="I124" i="2"/>
  <c r="I126" i="2"/>
  <c r="I128" i="2"/>
  <c r="H6" i="18" s="1"/>
  <c r="I6" i="18" s="1"/>
  <c r="I129" i="2"/>
  <c r="H7" i="29" s="1"/>
  <c r="I7" i="29" s="1"/>
  <c r="I133" i="2"/>
  <c r="I134" i="2"/>
  <c r="I136" i="2"/>
  <c r="I137" i="2"/>
  <c r="I138" i="2"/>
  <c r="I139" i="2"/>
  <c r="I140" i="2"/>
  <c r="I141" i="2"/>
  <c r="I143" i="2"/>
  <c r="I144" i="2"/>
  <c r="I145" i="2"/>
  <c r="I149" i="2"/>
  <c r="I151" i="2"/>
  <c r="I152" i="2"/>
  <c r="H10" i="18" s="1"/>
  <c r="I10" i="18" s="1"/>
  <c r="I153" i="2"/>
  <c r="I154" i="2"/>
  <c r="I156" i="2"/>
  <c r="I157" i="2"/>
  <c r="I158" i="2"/>
  <c r="I159" i="2"/>
  <c r="I160" i="2"/>
  <c r="G6" i="13" s="1"/>
  <c r="I162" i="2"/>
  <c r="I163" i="2"/>
  <c r="I164" i="2"/>
  <c r="I165" i="2"/>
  <c r="I166" i="2"/>
  <c r="I167" i="2"/>
  <c r="I169" i="2"/>
  <c r="H6" i="61" s="1"/>
  <c r="I6" i="61" s="1"/>
  <c r="I16" i="61" s="1"/>
  <c r="F15" i="47" s="1"/>
  <c r="F45" i="5"/>
  <c r="G45" i="5" s="1"/>
  <c r="E21" i="28" s="1"/>
  <c r="F21" i="28" s="1"/>
  <c r="F31" i="28" s="1"/>
  <c r="C51" i="28" s="1"/>
  <c r="F40" i="5"/>
  <c r="G40" i="5" s="1"/>
  <c r="F35" i="5"/>
  <c r="G35" i="5" s="1"/>
  <c r="D33" i="5"/>
  <c r="F33" i="5" s="1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3" i="5"/>
  <c r="G23" i="5" s="1"/>
  <c r="D21" i="5"/>
  <c r="G172" i="2"/>
  <c r="I172" i="2" s="1"/>
  <c r="H7" i="25" s="1"/>
  <c r="I7" i="25" s="1"/>
  <c r="F171" i="2"/>
  <c r="G171" i="2" s="1"/>
  <c r="I171" i="2" s="1"/>
  <c r="K7" i="19"/>
  <c r="G168" i="2"/>
  <c r="F168" i="2" s="1"/>
  <c r="J6" i="13"/>
  <c r="F158" i="2"/>
  <c r="G155" i="2"/>
  <c r="I155" i="2" s="1"/>
  <c r="G150" i="2"/>
  <c r="I150" i="2" s="1"/>
  <c r="I148" i="2"/>
  <c r="G147" i="2"/>
  <c r="F147" i="2" s="1"/>
  <c r="G146" i="2"/>
  <c r="I146" i="2" s="1"/>
  <c r="G142" i="2"/>
  <c r="I142" i="2" s="1"/>
  <c r="G135" i="2"/>
  <c r="I135" i="2" s="1"/>
  <c r="G132" i="2"/>
  <c r="I132" i="2" s="1"/>
  <c r="F131" i="2"/>
  <c r="G131" i="2" s="1"/>
  <c r="I131" i="2" s="1"/>
  <c r="G127" i="2"/>
  <c r="I127" i="2" s="1"/>
  <c r="H6" i="25" s="1"/>
  <c r="I6" i="25" s="1"/>
  <c r="K126" i="2"/>
  <c r="K125" i="2"/>
  <c r="G125" i="2"/>
  <c r="I125" i="2" s="1"/>
  <c r="K124" i="2"/>
  <c r="K123" i="2"/>
  <c r="K122" i="2"/>
  <c r="K121" i="2"/>
  <c r="G121" i="2"/>
  <c r="I121" i="2" s="1"/>
  <c r="K120" i="2"/>
  <c r="K119" i="2"/>
  <c r="K118" i="2"/>
  <c r="K117" i="2"/>
  <c r="G117" i="2"/>
  <c r="I117" i="2" s="1"/>
  <c r="K116" i="2"/>
  <c r="K115" i="2"/>
  <c r="G115" i="2"/>
  <c r="I115" i="2" s="1"/>
  <c r="K114" i="2"/>
  <c r="G114" i="2"/>
  <c r="I114" i="2" s="1"/>
  <c r="K113" i="2"/>
  <c r="F113" i="2"/>
  <c r="G113" i="2" s="1"/>
  <c r="I113" i="2" s="1"/>
  <c r="K112" i="2"/>
  <c r="K111" i="2"/>
  <c r="G111" i="2"/>
  <c r="I111" i="2" s="1"/>
  <c r="K110" i="2"/>
  <c r="K109" i="2"/>
  <c r="K108" i="2"/>
  <c r="K107" i="2"/>
  <c r="K6" i="32" s="1"/>
  <c r="K106" i="2"/>
  <c r="J8" i="13" s="1"/>
  <c r="G106" i="2"/>
  <c r="I106" i="2" s="1"/>
  <c r="K105" i="2"/>
  <c r="G105" i="2"/>
  <c r="I105" i="2" s="1"/>
  <c r="K104" i="2"/>
  <c r="K9" i="29" s="1"/>
  <c r="I104" i="2"/>
  <c r="H9" i="29" s="1"/>
  <c r="I9" i="29" s="1"/>
  <c r="K103" i="2"/>
  <c r="G103" i="2"/>
  <c r="I103" i="2" s="1"/>
  <c r="K102" i="2"/>
  <c r="G102" i="2"/>
  <c r="I102" i="2" s="1"/>
  <c r="K101" i="2"/>
  <c r="G101" i="2"/>
  <c r="I101" i="2" s="1"/>
  <c r="H8" i="18" s="1"/>
  <c r="I8" i="18" s="1"/>
  <c r="K99" i="2"/>
  <c r="K98" i="2"/>
  <c r="K97" i="2"/>
  <c r="K96" i="2"/>
  <c r="K95" i="2"/>
  <c r="F95" i="2"/>
  <c r="K94" i="2"/>
  <c r="K93" i="2"/>
  <c r="K92" i="2"/>
  <c r="K91" i="2"/>
  <c r="F91" i="2"/>
  <c r="K90" i="2"/>
  <c r="G90" i="2"/>
  <c r="I90" i="2" s="1"/>
  <c r="K89" i="2"/>
  <c r="F89" i="2"/>
  <c r="G89" i="2" s="1"/>
  <c r="I89" i="2" s="1"/>
  <c r="K88" i="2"/>
  <c r="G88" i="2"/>
  <c r="I88" i="2" s="1"/>
  <c r="K87" i="2"/>
  <c r="G87" i="2"/>
  <c r="I87" i="2" s="1"/>
  <c r="K86" i="2"/>
  <c r="K85" i="2"/>
  <c r="K84" i="2"/>
  <c r="F84" i="2"/>
  <c r="G84" i="2" s="1"/>
  <c r="I84" i="2" s="1"/>
  <c r="K83" i="2"/>
  <c r="G83" i="2"/>
  <c r="I83" i="2" s="1"/>
  <c r="K82" i="2"/>
  <c r="K81" i="2"/>
  <c r="G81" i="2"/>
  <c r="I81" i="2" s="1"/>
  <c r="K80" i="2"/>
  <c r="K79" i="2"/>
  <c r="K78" i="2"/>
  <c r="K77" i="2"/>
  <c r="K76" i="2"/>
  <c r="G76" i="2"/>
  <c r="I76" i="2" s="1"/>
  <c r="K75" i="2"/>
  <c r="G75" i="2"/>
  <c r="I75" i="2" s="1"/>
  <c r="K74" i="2"/>
  <c r="K73" i="2"/>
  <c r="F73" i="2"/>
  <c r="G73" i="2" s="1"/>
  <c r="I73" i="2" s="1"/>
  <c r="K72" i="2"/>
  <c r="G72" i="2"/>
  <c r="I72" i="2" s="1"/>
  <c r="K71" i="2"/>
  <c r="K70" i="2"/>
  <c r="K69" i="2"/>
  <c r="G69" i="2"/>
  <c r="I69" i="2" s="1"/>
  <c r="K68" i="2"/>
  <c r="K67" i="2"/>
  <c r="K66" i="2"/>
  <c r="G66" i="2"/>
  <c r="I66" i="2" s="1"/>
  <c r="K65" i="2"/>
  <c r="K64" i="2"/>
  <c r="K63" i="2"/>
  <c r="K62" i="2"/>
  <c r="G62" i="2"/>
  <c r="I62" i="2" s="1"/>
  <c r="K61" i="2"/>
  <c r="G61" i="2"/>
  <c r="I61" i="2" s="1"/>
  <c r="K60" i="2"/>
  <c r="G60" i="2"/>
  <c r="I60" i="2" s="1"/>
  <c r="K59" i="2"/>
  <c r="K58" i="2"/>
  <c r="K57" i="2"/>
  <c r="K56" i="2"/>
  <c r="K55" i="2"/>
  <c r="F55" i="2"/>
  <c r="K54" i="2"/>
  <c r="K53" i="2"/>
  <c r="K52" i="2"/>
  <c r="K51" i="2"/>
  <c r="K50" i="2"/>
  <c r="K49" i="2"/>
  <c r="G49" i="2"/>
  <c r="I49" i="2" s="1"/>
  <c r="K48" i="2"/>
  <c r="K47" i="2"/>
  <c r="G47" i="2"/>
  <c r="I47" i="2" s="1"/>
  <c r="K46" i="2"/>
  <c r="G46" i="2"/>
  <c r="I46" i="2" s="1"/>
  <c r="K45" i="2"/>
  <c r="F45" i="2"/>
  <c r="G45" i="2" s="1"/>
  <c r="I45" i="2" s="1"/>
  <c r="K44" i="2"/>
  <c r="G44" i="2"/>
  <c r="I44" i="2" s="1"/>
  <c r="K43" i="2"/>
  <c r="K42" i="2"/>
  <c r="K41" i="2"/>
  <c r="G41" i="2"/>
  <c r="I41" i="2" s="1"/>
  <c r="K40" i="2"/>
  <c r="K39" i="2"/>
  <c r="G39" i="2"/>
  <c r="I39" i="2" s="1"/>
  <c r="K38" i="2"/>
  <c r="K37" i="2"/>
  <c r="G37" i="2"/>
  <c r="I37" i="2" s="1"/>
  <c r="K36" i="2"/>
  <c r="K35" i="2"/>
  <c r="G35" i="2"/>
  <c r="I35" i="2" s="1"/>
  <c r="K34" i="2"/>
  <c r="K33" i="2"/>
  <c r="K32" i="2"/>
  <c r="G32" i="2"/>
  <c r="I32" i="2" s="1"/>
  <c r="K31" i="2"/>
  <c r="G31" i="2"/>
  <c r="I31" i="2" s="1"/>
  <c r="K30" i="2"/>
  <c r="K29" i="2"/>
  <c r="K28" i="2"/>
  <c r="K27" i="2"/>
  <c r="K26" i="2"/>
  <c r="K25" i="2"/>
  <c r="K24" i="2"/>
  <c r="K23" i="2"/>
  <c r="K22" i="2"/>
  <c r="I22" i="2"/>
  <c r="H6" i="22" s="1"/>
  <c r="I6" i="22" s="1"/>
  <c r="K21" i="2"/>
  <c r="I21" i="2"/>
  <c r="K20" i="2"/>
  <c r="K19" i="2"/>
  <c r="K18" i="2"/>
  <c r="G18" i="2"/>
  <c r="I18" i="2" s="1"/>
  <c r="K17" i="2"/>
  <c r="G17" i="2"/>
  <c r="I17" i="2" s="1"/>
  <c r="K16" i="2"/>
  <c r="K15" i="2"/>
  <c r="K14" i="2"/>
  <c r="K13" i="2"/>
  <c r="K12" i="2"/>
  <c r="G12" i="2"/>
  <c r="I12" i="2" s="1"/>
  <c r="K11" i="2"/>
  <c r="F11" i="2"/>
  <c r="I11" i="2" s="1"/>
  <c r="H6" i="28" s="1"/>
  <c r="K10" i="2"/>
  <c r="G10" i="2"/>
  <c r="I10" i="2" s="1"/>
  <c r="C53" i="30" l="1"/>
  <c r="H7" i="26"/>
  <c r="I7" i="26" s="1"/>
  <c r="K7" i="34"/>
  <c r="K6" i="34"/>
  <c r="E21" i="19"/>
  <c r="F21" i="19" s="1"/>
  <c r="F31" i="19" s="1"/>
  <c r="C51" i="19" s="1"/>
  <c r="D24" i="13"/>
  <c r="E21" i="18"/>
  <c r="F21" i="18" s="1"/>
  <c r="D22" i="13"/>
  <c r="E22" i="18"/>
  <c r="F22" i="18" s="1"/>
  <c r="E27" i="18"/>
  <c r="F27" i="18" s="1"/>
  <c r="C53" i="31"/>
  <c r="E25" i="18"/>
  <c r="F25" i="18" s="1"/>
  <c r="E24" i="18"/>
  <c r="F24" i="18" s="1"/>
  <c r="D21" i="13"/>
  <c r="E21" i="32"/>
  <c r="F21" i="32" s="1"/>
  <c r="F31" i="32" s="1"/>
  <c r="C51" i="32" s="1"/>
  <c r="C53" i="32" s="1"/>
  <c r="E23" i="18"/>
  <c r="F23" i="18" s="1"/>
  <c r="H6" i="34"/>
  <c r="I6" i="34" s="1"/>
  <c r="H7" i="34"/>
  <c r="I7" i="34" s="1"/>
  <c r="H7" i="19"/>
  <c r="I7" i="19" s="1"/>
  <c r="F11" i="47"/>
  <c r="H10" i="29"/>
  <c r="I10" i="29" s="1"/>
  <c r="K11" i="29"/>
  <c r="H6" i="29"/>
  <c r="I6" i="29" s="1"/>
  <c r="H11" i="29"/>
  <c r="I11" i="29" s="1"/>
  <c r="K10" i="29"/>
  <c r="I168" i="2"/>
  <c r="H9" i="18"/>
  <c r="I9" i="18" s="1"/>
  <c r="H7" i="22"/>
  <c r="I7" i="22" s="1"/>
  <c r="I16" i="22" s="1"/>
  <c r="C50" i="22" s="1"/>
  <c r="C53" i="22" s="1"/>
  <c r="H11" i="18"/>
  <c r="I11" i="18" s="1"/>
  <c r="I6" i="28"/>
  <c r="I16" i="28" s="1"/>
  <c r="C50" i="28" s="1"/>
  <c r="H7" i="18"/>
  <c r="I7" i="18" s="1"/>
  <c r="K7" i="18"/>
  <c r="H6" i="26"/>
  <c r="I6" i="26" s="1"/>
  <c r="K6" i="19"/>
  <c r="J7" i="13"/>
  <c r="K8" i="18"/>
  <c r="K10" i="18"/>
  <c r="H6" i="19"/>
  <c r="I6" i="19" s="1"/>
  <c r="I147" i="2"/>
  <c r="K7" i="22"/>
  <c r="K6" i="18"/>
  <c r="K9" i="18"/>
  <c r="K6" i="29"/>
  <c r="K11" i="18"/>
  <c r="K6" i="28"/>
  <c r="K6" i="22"/>
  <c r="K6" i="26"/>
  <c r="K6" i="25"/>
  <c r="I16" i="25"/>
  <c r="C50" i="25" s="1"/>
  <c r="C53" i="25" s="1"/>
  <c r="I16" i="20"/>
  <c r="I16" i="26" l="1"/>
  <c r="C50" i="26" s="1"/>
  <c r="C53" i="26" s="1"/>
  <c r="H24" i="9"/>
  <c r="I24" i="9" s="1"/>
  <c r="H25" i="9"/>
  <c r="I25" i="9" s="1"/>
  <c r="H23" i="9"/>
  <c r="I23" i="9" s="1"/>
  <c r="H26" i="9"/>
  <c r="I26" i="9" s="1"/>
  <c r="H27" i="9"/>
  <c r="I27" i="9" s="1"/>
  <c r="G17" i="56"/>
  <c r="C17" i="56"/>
  <c r="F17" i="56"/>
  <c r="D17" i="56"/>
  <c r="E17" i="56"/>
  <c r="F31" i="18"/>
  <c r="F13" i="47"/>
  <c r="F12" i="47"/>
  <c r="I16" i="34"/>
  <c r="C50" i="34" s="1"/>
  <c r="C53" i="34" s="1"/>
  <c r="I16" i="19"/>
  <c r="C50" i="19" s="1"/>
  <c r="C53" i="19" s="1"/>
  <c r="F8" i="47"/>
  <c r="F7" i="47"/>
  <c r="I16" i="29"/>
  <c r="C50" i="29" s="1"/>
  <c r="C53" i="29" s="1"/>
  <c r="I16" i="18"/>
  <c r="E46" i="13"/>
  <c r="D46" i="13"/>
  <c r="E45" i="13"/>
  <c r="D45" i="13"/>
  <c r="D44" i="13"/>
  <c r="E44" i="13" s="1"/>
  <c r="E30" i="13"/>
  <c r="E29" i="13"/>
  <c r="E28" i="13"/>
  <c r="E27" i="13"/>
  <c r="E26" i="13"/>
  <c r="E25" i="13"/>
  <c r="E24" i="13"/>
  <c r="E23" i="13"/>
  <c r="E22" i="13"/>
  <c r="E21" i="13"/>
  <c r="H15" i="13"/>
  <c r="F15" i="13"/>
  <c r="G15" i="13" s="1"/>
  <c r="F14" i="13"/>
  <c r="F13" i="13"/>
  <c r="G13" i="13" s="1"/>
  <c r="F12" i="13"/>
  <c r="F11" i="13"/>
  <c r="G11" i="13" s="1"/>
  <c r="F10" i="13"/>
  <c r="F9" i="13"/>
  <c r="G9" i="13" s="1"/>
  <c r="F8" i="13"/>
  <c r="F7" i="13"/>
  <c r="G7" i="13" s="1"/>
  <c r="H11" i="13" l="1"/>
  <c r="H12" i="13"/>
  <c r="G12" i="13"/>
  <c r="H14" i="13"/>
  <c r="G14" i="13"/>
  <c r="H10" i="13"/>
  <c r="G10" i="13"/>
  <c r="H13" i="13"/>
  <c r="D16" i="56"/>
  <c r="E16" i="56"/>
  <c r="G16" i="56"/>
  <c r="F16" i="56"/>
  <c r="C16" i="56"/>
  <c r="H9" i="13"/>
  <c r="F6" i="47"/>
  <c r="F14" i="47"/>
  <c r="F10" i="47"/>
  <c r="E31" i="13"/>
  <c r="C51" i="13" s="1"/>
  <c r="G8" i="13"/>
  <c r="H8" i="13" s="1"/>
  <c r="H6" i="13"/>
  <c r="H7" i="13"/>
  <c r="D10" i="56" l="1"/>
  <c r="D28" i="56" s="1"/>
  <c r="C10" i="56"/>
  <c r="C28" i="56" s="1"/>
  <c r="E10" i="56"/>
  <c r="E28" i="56" s="1"/>
  <c r="F10" i="56"/>
  <c r="F28" i="56" s="1"/>
  <c r="G10" i="56"/>
  <c r="G28" i="56" s="1"/>
  <c r="H16" i="13"/>
  <c r="C50" i="13" s="1"/>
  <c r="G11" i="56" l="1"/>
  <c r="C11" i="56"/>
  <c r="E11" i="56"/>
  <c r="D11" i="56"/>
  <c r="F11" i="56"/>
  <c r="D27" i="3"/>
  <c r="C31" i="3" l="1"/>
  <c r="C28" i="3"/>
  <c r="C32" i="3"/>
  <c r="D20" i="3" l="1"/>
  <c r="E20" i="3"/>
  <c r="F20" i="3"/>
  <c r="G20" i="3"/>
  <c r="H20" i="3"/>
  <c r="I20" i="3"/>
  <c r="J20" i="3"/>
  <c r="K20" i="3"/>
  <c r="L20" i="3"/>
  <c r="M20" i="3"/>
  <c r="C20" i="3"/>
  <c r="D15" i="3"/>
  <c r="E15" i="3"/>
  <c r="F15" i="3"/>
  <c r="G15" i="3"/>
  <c r="H15" i="3"/>
  <c r="I15" i="3"/>
  <c r="J15" i="3"/>
  <c r="K15" i="3"/>
  <c r="L15" i="3"/>
  <c r="M15" i="3"/>
  <c r="C15" i="3"/>
  <c r="D5" i="3"/>
  <c r="E5" i="3"/>
  <c r="F5" i="3"/>
  <c r="G5" i="3"/>
  <c r="H5" i="3"/>
  <c r="I5" i="3"/>
  <c r="J5" i="3"/>
  <c r="K5" i="3"/>
  <c r="L5" i="3"/>
  <c r="M5" i="3"/>
  <c r="C5" i="3"/>
  <c r="F5" i="9"/>
  <c r="W5" i="9" s="1"/>
  <c r="W6" i="9"/>
  <c r="F7" i="9"/>
  <c r="W7" i="9" s="1"/>
  <c r="F8" i="9"/>
  <c r="W8" i="9" s="1"/>
  <c r="F9" i="9"/>
  <c r="W9" i="9" s="1"/>
  <c r="F10" i="9"/>
  <c r="W10" i="9" s="1"/>
  <c r="F11" i="9"/>
  <c r="W11" i="9" s="1"/>
  <c r="F12" i="9"/>
  <c r="W12" i="9" s="1"/>
  <c r="F13" i="9"/>
  <c r="W13" i="9" s="1"/>
  <c r="F14" i="9"/>
  <c r="W14" i="9" s="1"/>
  <c r="F15" i="9"/>
  <c r="W15" i="9" s="1"/>
  <c r="F16" i="9"/>
  <c r="W16" i="9" s="1"/>
  <c r="F17" i="9"/>
  <c r="W17" i="9" s="1"/>
  <c r="F18" i="9"/>
  <c r="W18" i="9" s="1"/>
  <c r="F19" i="9"/>
  <c r="W19" i="9" s="1"/>
  <c r="F20" i="9"/>
  <c r="W20" i="9" s="1"/>
  <c r="F21" i="9"/>
  <c r="W21" i="9" s="1"/>
  <c r="F22" i="9"/>
  <c r="W22" i="9" s="1"/>
  <c r="G4" i="9"/>
  <c r="I7" i="6"/>
  <c r="I8" i="6"/>
  <c r="I10" i="6"/>
  <c r="I12" i="6"/>
  <c r="I13" i="6"/>
  <c r="I14" i="6"/>
  <c r="I15" i="6"/>
  <c r="I16" i="6"/>
  <c r="I17" i="6"/>
  <c r="I19" i="6"/>
  <c r="I20" i="6"/>
  <c r="I21" i="6"/>
  <c r="I23" i="6"/>
  <c r="I25" i="6"/>
  <c r="I30" i="6"/>
  <c r="I32" i="6"/>
  <c r="I34" i="6"/>
  <c r="I35" i="6"/>
  <c r="I36" i="6"/>
  <c r="I37" i="6"/>
  <c r="I38" i="6"/>
  <c r="I39" i="6"/>
  <c r="I41" i="6"/>
  <c r="I44" i="6"/>
  <c r="I45" i="6"/>
  <c r="I46" i="6"/>
  <c r="I6" i="6"/>
  <c r="H6" i="6"/>
  <c r="E37" i="28" s="1"/>
  <c r="F37" i="28" s="1"/>
  <c r="F47" i="28" s="1"/>
  <c r="C52" i="28" s="1"/>
  <c r="C53" i="28" s="1"/>
  <c r="F9" i="47" s="1"/>
  <c r="H7" i="6"/>
  <c r="H8" i="6"/>
  <c r="H9" i="6"/>
  <c r="H10" i="6"/>
  <c r="H11" i="6"/>
  <c r="H12" i="6"/>
  <c r="H13" i="6"/>
  <c r="H14" i="6"/>
  <c r="H15" i="6"/>
  <c r="H16" i="6"/>
  <c r="H17" i="6"/>
  <c r="H19" i="6"/>
  <c r="H20" i="6"/>
  <c r="H21" i="6"/>
  <c r="H23" i="6"/>
  <c r="H25" i="6"/>
  <c r="H30" i="6"/>
  <c r="H31" i="6"/>
  <c r="H32" i="6"/>
  <c r="H34" i="6"/>
  <c r="H35" i="6"/>
  <c r="H36" i="6"/>
  <c r="H37" i="6"/>
  <c r="H38" i="6"/>
  <c r="H39" i="6"/>
  <c r="H41" i="6"/>
  <c r="H45" i="6"/>
  <c r="H46" i="6"/>
  <c r="H47" i="6"/>
  <c r="D18" i="56" l="1"/>
  <c r="E18" i="56"/>
  <c r="G18" i="56"/>
  <c r="C18" i="56"/>
  <c r="F18" i="56"/>
  <c r="F30" i="9"/>
  <c r="F31" i="9"/>
  <c r="G31" i="9" s="1"/>
  <c r="H31" i="9" s="1"/>
  <c r="I31" i="9" s="1"/>
  <c r="H4" i="9"/>
  <c r="I4" i="9" s="1"/>
  <c r="X4" i="9"/>
  <c r="G8" i="9"/>
  <c r="P8" i="9"/>
  <c r="G15" i="9"/>
  <c r="P15" i="9"/>
  <c r="G7" i="9"/>
  <c r="P7" i="9"/>
  <c r="G22" i="9"/>
  <c r="P22" i="9"/>
  <c r="K22" i="9"/>
  <c r="G14" i="9"/>
  <c r="P14" i="9"/>
  <c r="G6" i="9"/>
  <c r="P6" i="9"/>
  <c r="G21" i="9"/>
  <c r="P21" i="9"/>
  <c r="K21" i="9"/>
  <c r="G20" i="9"/>
  <c r="P20" i="9"/>
  <c r="K20" i="9"/>
  <c r="G12" i="9"/>
  <c r="P12" i="9"/>
  <c r="G19" i="9"/>
  <c r="P19" i="9"/>
  <c r="K19" i="9"/>
  <c r="G11" i="9"/>
  <c r="P11" i="9"/>
  <c r="G16" i="9"/>
  <c r="P16" i="9"/>
  <c r="K16" i="9"/>
  <c r="G5" i="9"/>
  <c r="P5" i="9"/>
  <c r="G18" i="9"/>
  <c r="P18" i="9"/>
  <c r="K18" i="9"/>
  <c r="G10" i="9"/>
  <c r="P10" i="9"/>
  <c r="G13" i="9"/>
  <c r="P13" i="9"/>
  <c r="G17" i="9"/>
  <c r="P17" i="9"/>
  <c r="K17" i="9"/>
  <c r="G9" i="9"/>
  <c r="P9" i="9"/>
  <c r="D42" i="13"/>
  <c r="E42" i="13" s="1"/>
  <c r="D37" i="13"/>
  <c r="E37" i="13" s="1"/>
  <c r="D41" i="13"/>
  <c r="E41" i="13" s="1"/>
  <c r="D39" i="13"/>
  <c r="E39" i="13" s="1"/>
  <c r="D40" i="13"/>
  <c r="E40" i="13" s="1"/>
  <c r="D43" i="13"/>
  <c r="E43" i="13" s="1"/>
  <c r="D38" i="13"/>
  <c r="E38" i="13" s="1"/>
  <c r="D10" i="49" l="1"/>
  <c r="H14" i="9"/>
  <c r="I14" i="9" s="1"/>
  <c r="X14" i="9"/>
  <c r="H9" i="9"/>
  <c r="I9" i="9" s="1"/>
  <c r="X9" i="9"/>
  <c r="H8" i="9"/>
  <c r="I8" i="9" s="1"/>
  <c r="X8" i="9"/>
  <c r="H18" i="9"/>
  <c r="I18" i="9" s="1"/>
  <c r="X18" i="9"/>
  <c r="H17" i="9"/>
  <c r="I17" i="9" s="1"/>
  <c r="X17" i="9"/>
  <c r="H20" i="9"/>
  <c r="I20" i="9" s="1"/>
  <c r="X20" i="9"/>
  <c r="H11" i="9"/>
  <c r="I11" i="9" s="1"/>
  <c r="X11" i="9"/>
  <c r="H22" i="9"/>
  <c r="I22" i="9" s="1"/>
  <c r="X22" i="9"/>
  <c r="H19" i="9"/>
  <c r="I19" i="9" s="1"/>
  <c r="X19" i="9"/>
  <c r="H21" i="9"/>
  <c r="I21" i="9" s="1"/>
  <c r="X21" i="9"/>
  <c r="H13" i="9"/>
  <c r="I13" i="9" s="1"/>
  <c r="X13" i="9"/>
  <c r="H7" i="9"/>
  <c r="I7" i="9" s="1"/>
  <c r="X7" i="9"/>
  <c r="H12" i="9"/>
  <c r="I12" i="9" s="1"/>
  <c r="X12" i="9"/>
  <c r="H10" i="9"/>
  <c r="I10" i="9" s="1"/>
  <c r="X10" i="9"/>
  <c r="H16" i="9"/>
  <c r="I16" i="9" s="1"/>
  <c r="X16" i="9"/>
  <c r="H15" i="9"/>
  <c r="I15" i="9" s="1"/>
  <c r="X15" i="9"/>
  <c r="H5" i="9"/>
  <c r="I5" i="9" s="1"/>
  <c r="X5" i="9"/>
  <c r="H6" i="9"/>
  <c r="I6" i="9" s="1"/>
  <c r="X6" i="9"/>
  <c r="E47" i="13"/>
  <c r="C52" i="13" s="1"/>
  <c r="C53" i="13" s="1"/>
  <c r="F10" i="4"/>
  <c r="F20" i="4"/>
  <c r="F5" i="4"/>
  <c r="F12" i="4"/>
  <c r="F6" i="4"/>
  <c r="F18" i="4"/>
  <c r="F21" i="4"/>
  <c r="F25" i="4"/>
  <c r="F14" i="4"/>
  <c r="F19" i="4"/>
  <c r="F15" i="4"/>
  <c r="F7" i="4"/>
  <c r="F16" i="4"/>
  <c r="F11" i="4"/>
  <c r="F9" i="4"/>
  <c r="F13" i="4"/>
  <c r="F8" i="4"/>
  <c r="P28" i="9"/>
  <c r="F34" i="9" s="1"/>
  <c r="F22" i="4"/>
  <c r="F23" i="4"/>
  <c r="G7" i="4" l="1"/>
  <c r="G6" i="4"/>
  <c r="E6" i="47" s="1"/>
  <c r="G25" i="4"/>
  <c r="E14" i="47" s="1"/>
  <c r="G10" i="4"/>
  <c r="E9" i="47" s="1"/>
  <c r="D6" i="50"/>
  <c r="F6" i="50"/>
  <c r="C6" i="50"/>
  <c r="E6" i="50"/>
  <c r="F5" i="47"/>
  <c r="G14" i="4"/>
  <c r="F32" i="9"/>
  <c r="G30" i="9"/>
  <c r="G9" i="47" l="1"/>
  <c r="G15" i="47"/>
  <c r="G14" i="47"/>
  <c r="H14" i="47" s="1"/>
  <c r="I14" i="47" s="1"/>
  <c r="G6" i="47"/>
  <c r="H6" i="47" s="1"/>
  <c r="I6" i="47" s="1"/>
  <c r="G16" i="4"/>
  <c r="G15" i="4"/>
  <c r="G22" i="4"/>
  <c r="G13" i="4"/>
  <c r="E12" i="47" s="1"/>
  <c r="G18" i="4"/>
  <c r="G20" i="4"/>
  <c r="E15" i="56"/>
  <c r="G8" i="4"/>
  <c r="E7" i="47" s="1"/>
  <c r="G12" i="4"/>
  <c r="G5" i="4"/>
  <c r="E5" i="47" s="1"/>
  <c r="G19" i="4"/>
  <c r="G9" i="4"/>
  <c r="E8" i="47" s="1"/>
  <c r="D13" i="56"/>
  <c r="C14" i="56"/>
  <c r="G21" i="4"/>
  <c r="G11" i="4"/>
  <c r="G23" i="4"/>
  <c r="H30" i="9"/>
  <c r="I30" i="9" s="1"/>
  <c r="E9" i="56"/>
  <c r="G9" i="56"/>
  <c r="D9" i="56"/>
  <c r="F9" i="56"/>
  <c r="C9" i="56"/>
  <c r="E41" i="50"/>
  <c r="E51" i="50" s="1"/>
  <c r="E56" i="50" s="1"/>
  <c r="E19" i="50"/>
  <c r="E24" i="50" s="1"/>
  <c r="F6" i="54" s="1"/>
  <c r="E5" i="56"/>
  <c r="C5" i="56"/>
  <c r="C41" i="50"/>
  <c r="C51" i="50" s="1"/>
  <c r="C56" i="50" s="1"/>
  <c r="C19" i="50"/>
  <c r="C24" i="50" s="1"/>
  <c r="D6" i="54" s="1"/>
  <c r="H6" i="54"/>
  <c r="G5" i="56"/>
  <c r="F5" i="56"/>
  <c r="F41" i="50"/>
  <c r="F51" i="50" s="1"/>
  <c r="F56" i="50" s="1"/>
  <c r="F19" i="50"/>
  <c r="F24" i="50" s="1"/>
  <c r="G6" i="54" s="1"/>
  <c r="D5" i="56"/>
  <c r="D19" i="50"/>
  <c r="D24" i="50" s="1"/>
  <c r="E6" i="54" s="1"/>
  <c r="D41" i="50"/>
  <c r="D51" i="50" s="1"/>
  <c r="D56" i="50" s="1"/>
  <c r="F12" i="56"/>
  <c r="G12" i="56"/>
  <c r="D12" i="56"/>
  <c r="E12" i="56"/>
  <c r="C12" i="56"/>
  <c r="H9" i="47"/>
  <c r="I9" i="47" s="1"/>
  <c r="G12" i="47" l="1"/>
  <c r="H12" i="47" s="1"/>
  <c r="I12" i="47" s="1"/>
  <c r="E10" i="47"/>
  <c r="G7" i="47"/>
  <c r="H7" i="47" s="1"/>
  <c r="I7" i="47" s="1"/>
  <c r="G8" i="47"/>
  <c r="H8" i="47" s="1"/>
  <c r="I8" i="47" s="1"/>
  <c r="G5" i="47"/>
  <c r="H5" i="47" s="1"/>
  <c r="I5" i="47" s="1"/>
  <c r="E11" i="47"/>
  <c r="G15" i="56"/>
  <c r="E13" i="47"/>
  <c r="E14" i="56"/>
  <c r="D15" i="56"/>
  <c r="C15" i="56"/>
  <c r="D14" i="56"/>
  <c r="F14" i="56"/>
  <c r="F13" i="56"/>
  <c r="E13" i="56"/>
  <c r="F15" i="56"/>
  <c r="C13" i="56"/>
  <c r="G13" i="56"/>
  <c r="G14" i="56"/>
  <c r="H15" i="47"/>
  <c r="I15" i="47" s="1"/>
  <c r="D26" i="56"/>
  <c r="D7" i="56"/>
  <c r="F26" i="56"/>
  <c r="F7" i="56"/>
  <c r="C26" i="56"/>
  <c r="C7" i="56"/>
  <c r="G26" i="56"/>
  <c r="G7" i="56"/>
  <c r="E26" i="56"/>
  <c r="E7" i="56"/>
  <c r="G10" i="47" l="1"/>
  <c r="H10" i="47" s="1"/>
  <c r="I10" i="47" s="1"/>
  <c r="G11" i="47"/>
  <c r="H11" i="47" s="1"/>
  <c r="I11" i="47" s="1"/>
  <c r="G13" i="47"/>
  <c r="H13" i="47" s="1"/>
  <c r="I13" i="47" s="1"/>
  <c r="D15" i="47"/>
  <c r="C15" i="47" s="1"/>
  <c r="I161" i="2"/>
  <c r="D11" i="47" l="1"/>
  <c r="C11" i="47" s="1"/>
  <c r="D13" i="47"/>
  <c r="C13" i="47" s="1"/>
  <c r="D8" i="47" l="1"/>
  <c r="C8" i="47" s="1"/>
  <c r="D6" i="47"/>
  <c r="C6" i="47" s="1"/>
  <c r="D5" i="47"/>
  <c r="C5" i="47" s="1"/>
  <c r="D14" i="47"/>
  <c r="C14" i="47" s="1"/>
  <c r="D10" i="47"/>
  <c r="C10" i="47" s="1"/>
  <c r="D12" i="47"/>
  <c r="C12" i="47" s="1"/>
  <c r="D9" i="47"/>
  <c r="C9" i="47" s="1"/>
  <c r="D7" i="47"/>
  <c r="C7" i="47" s="1"/>
  <c r="F43" i="50" l="1"/>
  <c r="C8" i="50"/>
  <c r="E43" i="50"/>
  <c r="D43" i="50" l="1"/>
  <c r="C43" i="50"/>
  <c r="D8" i="50"/>
  <c r="E8" i="50"/>
  <c r="F8" i="50"/>
  <c r="C28" i="50" l="1"/>
  <c r="J56" i="50" s="1"/>
  <c r="F28" i="50"/>
  <c r="M56" i="50" s="1"/>
  <c r="N57" i="50"/>
  <c r="N56" i="50"/>
  <c r="D28" i="50"/>
  <c r="K56" i="50" s="1"/>
  <c r="E28" i="50"/>
  <c r="L56" i="50" s="1"/>
  <c r="E61" i="50" l="1"/>
  <c r="E62" i="50" s="1"/>
  <c r="E60" i="50"/>
  <c r="L57" i="50" s="1"/>
  <c r="C60" i="50"/>
  <c r="J57" i="50" s="1"/>
  <c r="C61" i="50"/>
  <c r="C62" i="50" s="1"/>
  <c r="D60" i="50"/>
  <c r="K57" i="50" s="1"/>
  <c r="D61" i="50"/>
  <c r="D62" i="50" s="1"/>
  <c r="F61" i="50"/>
  <c r="F62" i="50" s="1"/>
  <c r="F60" i="50"/>
  <c r="M57" i="50" s="1"/>
  <c r="D42" i="50" l="1"/>
  <c r="D45" i="50" s="1"/>
  <c r="D57" i="50" s="1"/>
  <c r="F7" i="50"/>
  <c r="F10" i="50" s="1"/>
  <c r="F14" i="50" s="1"/>
  <c r="G4" i="54" s="1"/>
  <c r="E7" i="50"/>
  <c r="D7" i="50"/>
  <c r="D18" i="50" s="1"/>
  <c r="D23" i="50" s="1"/>
  <c r="E5" i="54" s="1"/>
  <c r="C7" i="50"/>
  <c r="C18" i="50" s="1"/>
  <c r="C23" i="50" s="1"/>
  <c r="D5" i="54" s="1"/>
  <c r="G27" i="56"/>
  <c r="G30" i="56" s="1"/>
  <c r="F27" i="56"/>
  <c r="F30" i="56" s="1"/>
  <c r="E27" i="56"/>
  <c r="E30" i="56" s="1"/>
  <c r="D27" i="56"/>
  <c r="D30" i="56" s="1"/>
  <c r="C27" i="56"/>
  <c r="C30" i="56" s="1"/>
  <c r="E42" i="50"/>
  <c r="E45" i="50" s="1"/>
  <c r="E57" i="50" s="1"/>
  <c r="C42" i="50"/>
  <c r="C45" i="50" s="1"/>
  <c r="C57" i="50" s="1"/>
  <c r="F42" i="50"/>
  <c r="D10" i="50" l="1"/>
  <c r="D14" i="50" s="1"/>
  <c r="D15" i="50" s="1"/>
  <c r="F15" i="50"/>
  <c r="F18" i="50"/>
  <c r="F20" i="50" s="1"/>
  <c r="F25" i="50" s="1"/>
  <c r="F26" i="50" s="1"/>
  <c r="M54" i="50" s="1"/>
  <c r="D11" i="50"/>
  <c r="D20" i="50"/>
  <c r="D25" i="50" s="1"/>
  <c r="D12" i="50"/>
  <c r="C20" i="50"/>
  <c r="C25" i="50" s="1"/>
  <c r="C12" i="50"/>
  <c r="C11" i="50"/>
  <c r="C10" i="50"/>
  <c r="C14" i="50" s="1"/>
  <c r="C15" i="50" s="1"/>
  <c r="E58" i="50"/>
  <c r="L55" i="50" s="1"/>
  <c r="D58" i="50"/>
  <c r="K55" i="50" s="1"/>
  <c r="C58" i="50"/>
  <c r="J55" i="50" s="1"/>
  <c r="N55" i="50"/>
  <c r="E50" i="50"/>
  <c r="D50" i="50"/>
  <c r="C50" i="50"/>
  <c r="F45" i="50"/>
  <c r="F57" i="50" s="1"/>
  <c r="F50" i="50"/>
  <c r="E10" i="50"/>
  <c r="E14" i="50" s="1"/>
  <c r="E18" i="50"/>
  <c r="F23" i="50" l="1"/>
  <c r="G5" i="54" s="1"/>
  <c r="E4" i="54"/>
  <c r="F12" i="50"/>
  <c r="F11" i="50"/>
  <c r="D26" i="50"/>
  <c r="K54" i="50" s="1"/>
  <c r="C26" i="50"/>
  <c r="J54" i="50" s="1"/>
  <c r="D4" i="54"/>
  <c r="C55" i="50"/>
  <c r="C47" i="50"/>
  <c r="C46" i="50"/>
  <c r="D55" i="50"/>
  <c r="D46" i="50"/>
  <c r="D47" i="50"/>
  <c r="F47" i="50"/>
  <c r="F46" i="50"/>
  <c r="E55" i="50"/>
  <c r="E47" i="50"/>
  <c r="E46" i="50"/>
  <c r="F58" i="50"/>
  <c r="M55" i="50" s="1"/>
  <c r="H5" i="54"/>
  <c r="E52" i="50"/>
  <c r="E23" i="50"/>
  <c r="F5" i="54" s="1"/>
  <c r="E12" i="50"/>
  <c r="E11" i="50"/>
  <c r="E20" i="50"/>
  <c r="E25" i="50" s="1"/>
  <c r="D52" i="50"/>
  <c r="E15" i="50"/>
  <c r="F4" i="54"/>
  <c r="C52" i="50"/>
  <c r="F52" i="50"/>
  <c r="F55" i="50"/>
  <c r="H4" i="54" l="1"/>
  <c r="E26" i="50"/>
  <c r="L54" i="50" s="1"/>
  <c r="N54" i="50"/>
</calcChain>
</file>

<file path=xl/comments1.xml><?xml version="1.0" encoding="utf-8"?>
<comments xmlns="http://schemas.openxmlformats.org/spreadsheetml/2006/main">
  <authors>
    <author>Afeef Mahmood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per mtr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box of 100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box of 50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500 depressors</t>
        </r>
      </text>
    </comment>
  </commentList>
</comments>
</file>

<file path=xl/comments2.xml><?xml version="1.0" encoding="utf-8"?>
<comments xmlns="http://schemas.openxmlformats.org/spreadsheetml/2006/main">
  <authors>
    <author>Afeef Mahmood</author>
    <author>Afeef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Punjab Health Situation Analysis, Health sector strategy, GoPb 2011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MICS Punjab, 2011
table HH.2 (caclulated)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MICS Punjab, 2011, table HH.2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 xml:space="preserve">Afeef:
</t>
        </r>
        <r>
          <rPr>
            <sz val="9"/>
            <color indexed="81"/>
            <rFont val="Tahoma"/>
            <family val="2"/>
          </rPr>
          <t>MICS Punjab 2011, table HH.4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MICS Punjab, 2011
table HH.2 (caclulated)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Afeef Mahmood:</t>
        </r>
        <r>
          <rPr>
            <sz val="9"/>
            <color indexed="81"/>
            <rFont val="Tahoma"/>
            <family val="2"/>
          </rPr>
          <t xml:space="preserve">
MICS Punjab, 2011. table HH.5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CBR = Index mundi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presentation to DFID-P, Georgia 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  <comment ref="A32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  <comment ref="A33" authorId="1" shapeId="0">
      <text>
        <r>
          <rPr>
            <b/>
            <sz val="9"/>
            <color indexed="81"/>
            <rFont val="Tahoma"/>
            <family val="2"/>
          </rPr>
          <t>Afeef:</t>
        </r>
        <r>
          <rPr>
            <sz val="9"/>
            <color indexed="81"/>
            <rFont val="Tahoma"/>
            <family val="2"/>
          </rPr>
          <t xml:space="preserve">
Table 8.3, pg91, PDHS 2008</t>
        </r>
      </text>
    </comment>
  </commentList>
</comments>
</file>

<file path=xl/sharedStrings.xml><?xml version="1.0" encoding="utf-8"?>
<sst xmlns="http://schemas.openxmlformats.org/spreadsheetml/2006/main" count="1976" uniqueCount="883">
  <si>
    <t>Description</t>
  </si>
  <si>
    <t>Quantity</t>
  </si>
  <si>
    <t>Cost</t>
  </si>
  <si>
    <t>Unit</t>
  </si>
  <si>
    <t>Days</t>
  </si>
  <si>
    <t>Number of</t>
  </si>
  <si>
    <t>Units per dose</t>
  </si>
  <si>
    <t>Times</t>
  </si>
  <si>
    <t>Total</t>
  </si>
  <si>
    <t>Cost per treatment</t>
  </si>
  <si>
    <t>Benzyl Penicillin</t>
  </si>
  <si>
    <t>Ispaghula</t>
  </si>
  <si>
    <t>Benzoin compound</t>
  </si>
  <si>
    <t xml:space="preserve">Tincture </t>
  </si>
  <si>
    <t>Sodium Bicarbonate</t>
  </si>
  <si>
    <t>OPV</t>
  </si>
  <si>
    <t>Measles vaccine</t>
  </si>
  <si>
    <t>Hepatitis B vaccine</t>
  </si>
  <si>
    <t xml:space="preserve">Tetanus toxoid </t>
  </si>
  <si>
    <t>No.</t>
  </si>
  <si>
    <t>Acetaminophin (paracetamol)Tablet,500 mg Strip/blister</t>
  </si>
  <si>
    <t>Acetaminophin (paracetamol)Suppository 250 mg</t>
  </si>
  <si>
    <t>IbuprofenSyrup 100mg/5ml</t>
  </si>
  <si>
    <t>Details</t>
  </si>
  <si>
    <t>Rural Health Centre</t>
  </si>
  <si>
    <t>Antenatal Services</t>
  </si>
  <si>
    <t>Visit 1</t>
  </si>
  <si>
    <t>x</t>
  </si>
  <si>
    <t>Visit 2</t>
  </si>
  <si>
    <t>Visit 3</t>
  </si>
  <si>
    <t>Visit 4</t>
  </si>
  <si>
    <t>Delivery Care</t>
  </si>
  <si>
    <t>Normal Delivery</t>
  </si>
  <si>
    <t>Assisted Vaginal Delivery</t>
  </si>
  <si>
    <t>Post Partum Care</t>
  </si>
  <si>
    <t>Management of PPH</t>
  </si>
  <si>
    <t>Care of Newborn</t>
  </si>
  <si>
    <t>Immediate care</t>
  </si>
  <si>
    <t>Care during the 1st day</t>
  </si>
  <si>
    <t>Child Health</t>
  </si>
  <si>
    <t>Growth Monitoring</t>
  </si>
  <si>
    <t>Management of ARI:</t>
  </si>
  <si>
    <t xml:space="preserve">   -child with cough and fever</t>
  </si>
  <si>
    <t xml:space="preserve">   -child with pneumonia</t>
  </si>
  <si>
    <t xml:space="preserve">   -child with severe pneumonia</t>
  </si>
  <si>
    <t xml:space="preserve">   -child with very severe disease</t>
  </si>
  <si>
    <t xml:space="preserve">   -child with wheeze</t>
  </si>
  <si>
    <t xml:space="preserve">   -child with ear infection</t>
  </si>
  <si>
    <t>Health education on ARI (per case)</t>
  </si>
  <si>
    <t>Management of Diarrhoea:</t>
  </si>
  <si>
    <t xml:space="preserve">   -with additional problems</t>
  </si>
  <si>
    <t>Dysentry</t>
  </si>
  <si>
    <t>Health education on Diarrhea/ORT</t>
  </si>
  <si>
    <t>Management of fever</t>
  </si>
  <si>
    <t>Management of severly ill child</t>
  </si>
  <si>
    <t>Visit for school health services</t>
  </si>
  <si>
    <t>Adoloscent health</t>
  </si>
  <si>
    <t>Health education to youth (as per defined package)</t>
  </si>
  <si>
    <t>Family Planning</t>
  </si>
  <si>
    <t>Counselling on family planning to enhance CPR</t>
  </si>
  <si>
    <t>Clinical examination</t>
  </si>
  <si>
    <t>Injections</t>
  </si>
  <si>
    <t>Insert IUCDs</t>
  </si>
  <si>
    <t>Oral Contraceptives</t>
  </si>
  <si>
    <t>Immunisation</t>
  </si>
  <si>
    <t>Routine immunisation</t>
  </si>
  <si>
    <t>Campaigns (NIDs)</t>
  </si>
  <si>
    <t>Motivating families</t>
  </si>
  <si>
    <t>Treatment of common injuries</t>
  </si>
  <si>
    <t>Wound dressing</t>
  </si>
  <si>
    <t>Snake bites</t>
  </si>
  <si>
    <t>Dog bites</t>
  </si>
  <si>
    <t>Fractures/dislocations</t>
  </si>
  <si>
    <t>Sprains/strains</t>
  </si>
  <si>
    <t>For accidents</t>
  </si>
  <si>
    <t>CPR</t>
  </si>
  <si>
    <t>Managemet and control of endemic communicable diseases</t>
  </si>
  <si>
    <t>Common cold and cough</t>
  </si>
  <si>
    <t>Acute Bronchitis</t>
  </si>
  <si>
    <t>Pneumonia</t>
  </si>
  <si>
    <t>Lower RTI</t>
  </si>
  <si>
    <t>Acute diarrhoea</t>
  </si>
  <si>
    <t>Chronic diarrhoea</t>
  </si>
  <si>
    <t>Health education on hand washing</t>
  </si>
  <si>
    <t>Identification of TB suspects</t>
  </si>
  <si>
    <t>Health education related to TB</t>
  </si>
  <si>
    <t>Clincal diagnosis of malaria</t>
  </si>
  <si>
    <t>Lab diagnosos of malaria</t>
  </si>
  <si>
    <t>Malaria related health education</t>
  </si>
  <si>
    <t>Common wounds and infections</t>
  </si>
  <si>
    <t>Scabies</t>
  </si>
  <si>
    <t>Diagnosis of STIs</t>
  </si>
  <si>
    <t>Lab diagnosis of STIs</t>
  </si>
  <si>
    <t>Diagnosis of Hepatitis</t>
  </si>
  <si>
    <t>Lab examination</t>
  </si>
  <si>
    <t>Health education on transmission of hepatitis</t>
  </si>
  <si>
    <t>Health education on transmission of HIV/AIDS</t>
  </si>
  <si>
    <t>Management and control endemic non communicable diseases</t>
  </si>
  <si>
    <t>Clinical diagnosis of hypertension</t>
  </si>
  <si>
    <t>Hypertension related health education</t>
  </si>
  <si>
    <t>Clinical diagnosis of diabetes mellitus</t>
  </si>
  <si>
    <t>Lab tests for diabetes mellitus</t>
  </si>
  <si>
    <t>Diabetes mellitus related health education</t>
  </si>
  <si>
    <t>Clinical diagnosis of asthma</t>
  </si>
  <si>
    <t>Lab tests for asthma</t>
  </si>
  <si>
    <t>Diagnosis of COPD</t>
  </si>
  <si>
    <t>Lab tests for COPD</t>
  </si>
  <si>
    <t>Clinical diagnosis cancer</t>
  </si>
  <si>
    <t>Disability Prevention</t>
  </si>
  <si>
    <t>Identification of visual impairment</t>
  </si>
  <si>
    <t>Identification of hearing disability</t>
  </si>
  <si>
    <t>Identificaiton of orthopedic disability</t>
  </si>
  <si>
    <t>Promotio of iodine salt</t>
  </si>
  <si>
    <t>Identificaiton of goiter</t>
  </si>
  <si>
    <t>Diagnosis of common eye diseases</t>
  </si>
  <si>
    <t>Refraction services</t>
  </si>
  <si>
    <t>Detection of cataract cases</t>
  </si>
  <si>
    <t>Mental Health</t>
  </si>
  <si>
    <t>Identificaiton of:</t>
  </si>
  <si>
    <t xml:space="preserve">   -attention defecit disorder</t>
  </si>
  <si>
    <t xml:space="preserve">   -obsessive compulsory behavior</t>
  </si>
  <si>
    <t xml:space="preserve">   -panic disorder</t>
  </si>
  <si>
    <t xml:space="preserve">   -bipolar disorder</t>
  </si>
  <si>
    <t xml:space="preserve">   -depression</t>
  </si>
  <si>
    <t xml:space="preserve">   -schizophrenia</t>
  </si>
  <si>
    <t xml:space="preserve">   -alcohol abuse and dependence</t>
  </si>
  <si>
    <t xml:space="preserve">   -drug abuse</t>
  </si>
  <si>
    <t>Oral Health Services</t>
  </si>
  <si>
    <t>Tooth extraction</t>
  </si>
  <si>
    <t>Scaling</t>
  </si>
  <si>
    <t>Filling</t>
  </si>
  <si>
    <t>Management of gingivitis and oral ailments</t>
  </si>
  <si>
    <t>Laboratory technician</t>
  </si>
  <si>
    <t>X Ray  technician</t>
  </si>
  <si>
    <t>Optician</t>
  </si>
  <si>
    <t>Dental Surgeon</t>
  </si>
  <si>
    <t>Dental technicians</t>
  </si>
  <si>
    <t>Medical Officer</t>
  </si>
  <si>
    <t>Health Educator</t>
  </si>
  <si>
    <t>Medical Technician</t>
  </si>
  <si>
    <t>EPI Technician</t>
  </si>
  <si>
    <t>Laboratory Technician</t>
  </si>
  <si>
    <t>X-Ray Technician</t>
  </si>
  <si>
    <t>Midwife</t>
  </si>
  <si>
    <t>Dental Technician</t>
  </si>
  <si>
    <t>Sulfamethoxazole + TrimethoprimOral suspension 200mg+40mg/5ml</t>
  </si>
  <si>
    <t>CeftriaxoneInj. 250mg</t>
  </si>
  <si>
    <t>IbuprofenTablets 400mg Strip/blister</t>
  </si>
  <si>
    <t>Supplies</t>
  </si>
  <si>
    <t>Absorbent cotton wool, 500 g</t>
  </si>
  <si>
    <t>Crepe elastic bandage 7.5cm x 5m, per (roll)</t>
  </si>
  <si>
    <t>Gauze roll 90cm x 100M non-sterile, with selvedges, absorbent 100% cotton</t>
  </si>
  <si>
    <t>Crepe elastic bandage, cotton (crepe) 5cm x 5 meter, roll</t>
  </si>
  <si>
    <t>Dexon</t>
  </si>
  <si>
    <t>Silk braided</t>
  </si>
  <si>
    <t>Vicryl</t>
  </si>
  <si>
    <t>IV Cannula, short, 20G (1.1x32mm)</t>
  </si>
  <si>
    <t>IV Cannula, short, 22G (1.1x32mm)</t>
  </si>
  <si>
    <t>IV Cannula, short, 24 G (1.1x32mm)</t>
  </si>
  <si>
    <t>Unit Cost</t>
  </si>
  <si>
    <t>Total Cost</t>
  </si>
  <si>
    <t>DRUGS</t>
  </si>
  <si>
    <t>SUPPLIES</t>
  </si>
  <si>
    <t>LAB INVESTIGATIONS</t>
  </si>
  <si>
    <t>Services</t>
  </si>
  <si>
    <t>BHU</t>
  </si>
  <si>
    <t>RHC</t>
  </si>
  <si>
    <t>Rs.</t>
  </si>
  <si>
    <t>Laboratory Services</t>
  </si>
  <si>
    <t>A</t>
  </si>
  <si>
    <t xml:space="preserve">Hematology </t>
  </si>
  <si>
    <t>i</t>
  </si>
  <si>
    <t>Hemoglobin</t>
  </si>
  <si>
    <t>Yes</t>
  </si>
  <si>
    <t>ii</t>
  </si>
  <si>
    <t>Red and white blood cell count</t>
  </si>
  <si>
    <t>iii</t>
  </si>
  <si>
    <t>Differential cell count</t>
  </si>
  <si>
    <t>iv</t>
  </si>
  <si>
    <t>ESR</t>
  </si>
  <si>
    <t>v</t>
  </si>
  <si>
    <t>Hematocrit</t>
  </si>
  <si>
    <t>vi</t>
  </si>
  <si>
    <t>Malaria parasite smear (MPS)</t>
  </si>
  <si>
    <t>vii</t>
  </si>
  <si>
    <t>Bleeding time and coagulation time</t>
  </si>
  <si>
    <t>viii</t>
  </si>
  <si>
    <t>Blood grouping and Rh factors</t>
  </si>
  <si>
    <t>ix</t>
  </si>
  <si>
    <t xml:space="preserve">Hepatitis B </t>
  </si>
  <si>
    <t>Hepatitis C</t>
  </si>
  <si>
    <t>Syphilis</t>
  </si>
  <si>
    <t>HIV test</t>
  </si>
  <si>
    <t>B</t>
  </si>
  <si>
    <t>Bacteriology</t>
  </si>
  <si>
    <t>Ziehl-Nielsen staining for acid fast bacilli (AFB)</t>
  </si>
  <si>
    <t>Direct smear for AFB</t>
  </si>
  <si>
    <t>Gram’s staining</t>
  </si>
  <si>
    <t>C</t>
  </si>
  <si>
    <t>Serology</t>
  </si>
  <si>
    <t>Typhi dot</t>
  </si>
  <si>
    <t>D</t>
  </si>
  <si>
    <t>Clinical Pathology</t>
  </si>
  <si>
    <t>Urine analysis: physical exam</t>
  </si>
  <si>
    <t>Chemical exam: Albumin (qualitative)</t>
  </si>
  <si>
    <t>Chemical exam: Albumin (quantitative)</t>
  </si>
  <si>
    <t>Chemical exam: Glucose (qualitative)</t>
  </si>
  <si>
    <t>Chemical exam: Glucose (quantitative)</t>
  </si>
  <si>
    <t>Microscopic (stool test)</t>
  </si>
  <si>
    <t>Macroscopic (stool test)</t>
  </si>
  <si>
    <t>Pregnancy test</t>
  </si>
  <si>
    <t>E</t>
  </si>
  <si>
    <t>Biochemistry</t>
  </si>
  <si>
    <t>Blood-sugar test</t>
  </si>
  <si>
    <t>Urea test</t>
  </si>
  <si>
    <t>Creatinine test</t>
  </si>
  <si>
    <t>Total protein test</t>
  </si>
  <si>
    <t>Simple liver-function test</t>
  </si>
  <si>
    <t>Brucellosis</t>
  </si>
  <si>
    <t>F</t>
  </si>
  <si>
    <t>Gram Stain</t>
  </si>
  <si>
    <t>Body fluids</t>
  </si>
  <si>
    <t>Imaging Services</t>
  </si>
  <si>
    <t>X-Rays</t>
  </si>
  <si>
    <t>Chest</t>
  </si>
  <si>
    <t>Abdomen</t>
  </si>
  <si>
    <t>Skeletal</t>
  </si>
  <si>
    <t>Ultrasound</t>
  </si>
  <si>
    <t>BPS</t>
  </si>
  <si>
    <t>House Rent</t>
  </si>
  <si>
    <t>Min Pay</t>
  </si>
  <si>
    <t>Max Pay</t>
  </si>
  <si>
    <t>Average Pay</t>
  </si>
  <si>
    <t>Total Pay</t>
  </si>
  <si>
    <t>Annual increment</t>
  </si>
  <si>
    <t xml:space="preserve">Allowances </t>
  </si>
  <si>
    <t xml:space="preserve">Month </t>
  </si>
  <si>
    <t>Annum</t>
  </si>
  <si>
    <t xml:space="preserve"> </t>
  </si>
  <si>
    <t>Pay Scales</t>
  </si>
  <si>
    <t>Medical Technician (pharmacy + dressing)</t>
  </si>
  <si>
    <t>Dai / midwife</t>
  </si>
  <si>
    <t>Ambulance driver</t>
  </si>
  <si>
    <t>Sweeper</t>
  </si>
  <si>
    <t>Gardner</t>
  </si>
  <si>
    <t>Guard</t>
  </si>
  <si>
    <t>Nurse</t>
  </si>
  <si>
    <t>Computer Operator</t>
  </si>
  <si>
    <t>Categories</t>
  </si>
  <si>
    <t>Number</t>
  </si>
  <si>
    <t>tab</t>
  </si>
  <si>
    <t>capsule</t>
  </si>
  <si>
    <t>vial</t>
  </si>
  <si>
    <t>Antenatal Care (4 visits package)</t>
  </si>
  <si>
    <t>Postpartum Care (2 PNC visits)</t>
  </si>
  <si>
    <t>Post Partum Care (including immedeate care of newborn)</t>
  </si>
  <si>
    <t>Care of newborn</t>
  </si>
  <si>
    <t>Delivery Care: Normal</t>
  </si>
  <si>
    <t>Delivery Care: Assisted</t>
  </si>
  <si>
    <t>Child with cough</t>
  </si>
  <si>
    <t>ARI</t>
  </si>
  <si>
    <t>Counselling on FP, e0clusive BF and Hygiene</t>
  </si>
  <si>
    <t>Teaching and counselling monther/family about handwashing, cord care, e0clusive breast feeding, keeping the baby warm, completing immunisation, recognising danger signes and taking appropriate actions</t>
  </si>
  <si>
    <t>Sputum smear e0amination</t>
  </si>
  <si>
    <t>0-Ray for Smear negative</t>
  </si>
  <si>
    <t xml:space="preserve">   -generalized an0iety disorder</t>
  </si>
  <si>
    <t>Child with pneumonia</t>
  </si>
  <si>
    <t>Child with wheeze</t>
  </si>
  <si>
    <t>Child with ear infection</t>
  </si>
  <si>
    <t>Diarrhoea</t>
  </si>
  <si>
    <t xml:space="preserve">   -some deyhdration</t>
  </si>
  <si>
    <t xml:space="preserve">   -no deyhdration</t>
  </si>
  <si>
    <t>Child with no dehydration</t>
  </si>
  <si>
    <t>Child with some dehydration</t>
  </si>
  <si>
    <t>Fever</t>
  </si>
  <si>
    <t>Condoms: initial visit</t>
  </si>
  <si>
    <t>Oral Contraceptives: follow-up visit</t>
  </si>
  <si>
    <t>Oral Contraceptives: initial visit</t>
  </si>
  <si>
    <t>IUCD: follow-up visit</t>
  </si>
  <si>
    <t>IUCD: initial visit</t>
  </si>
  <si>
    <t>Injections: follow-up visit</t>
  </si>
  <si>
    <t>Injections: initial visit</t>
  </si>
  <si>
    <t>Condoms: follow-up visit</t>
  </si>
  <si>
    <t>EPI</t>
  </si>
  <si>
    <t>Polio drops</t>
  </si>
  <si>
    <t>Injection BCG</t>
  </si>
  <si>
    <t>Injection Pentavalent</t>
  </si>
  <si>
    <t>Measles</t>
  </si>
  <si>
    <t>Respiratory Problem</t>
  </si>
  <si>
    <t>GI Problems</t>
  </si>
  <si>
    <t>Tuberculosis</t>
  </si>
  <si>
    <t>T.B Treatment: Category I</t>
  </si>
  <si>
    <t>T.B Treatment: Category II</t>
  </si>
  <si>
    <t>Malaria</t>
  </si>
  <si>
    <t>Typhoid</t>
  </si>
  <si>
    <t>Typhoid diagnosis and treatment</t>
  </si>
  <si>
    <t>Malaria diagnosis and treatment</t>
  </si>
  <si>
    <t>T.B diagnosis</t>
  </si>
  <si>
    <t>Leishmaniasis</t>
  </si>
  <si>
    <t>Leishmaniasis: diagnosis and treatment</t>
  </si>
  <si>
    <t>Brucellosis: diagnosis  and treatment</t>
  </si>
  <si>
    <t>Trachoma</t>
  </si>
  <si>
    <t>Trachoma: diagnosis and treatment</t>
  </si>
  <si>
    <t>Rural Health Centre: Time Esitmates by Health Worker</t>
  </si>
  <si>
    <t>Ferrous sulphate/fumerate+ folic acidTablet , equivalent to 60 mgiron+ folic acid 0.5mg</t>
  </si>
  <si>
    <t>dose</t>
  </si>
  <si>
    <t>Record</t>
  </si>
  <si>
    <t>ANC</t>
  </si>
  <si>
    <t>Month</t>
  </si>
  <si>
    <t>Hour</t>
  </si>
  <si>
    <t>Minute</t>
  </si>
  <si>
    <t>Salary</t>
  </si>
  <si>
    <t>Acetaminophin (paracetamol)Syrup, 250 mg /5 ml</t>
  </si>
  <si>
    <t>ml</t>
  </si>
  <si>
    <t>Acetyl salicylic acid (aspirin)Tablet 500mg</t>
  </si>
  <si>
    <t>Activated charcoal powderPowder</t>
  </si>
  <si>
    <t xml:space="preserve">AdrenalineInj. </t>
  </si>
  <si>
    <t>AdrenalineInj. 1mg/ml</t>
  </si>
  <si>
    <t xml:space="preserve">AlbendazoleTab 400mg </t>
  </si>
  <si>
    <t>Aluminium Hydroxide +Magnesium HydroxideSusp. Aluminium, Hydroxide200mg+Magnesium Hydroxide 200mg/5ml</t>
  </si>
  <si>
    <t>AminophyllinInj. 250mg</t>
  </si>
  <si>
    <t>Amoxicillin + Clavulanic acidSyp. 125 + 31.25</t>
  </si>
  <si>
    <t>Amoxicillin + Clavulanic acidTablet 500 mg + 125 mg</t>
  </si>
  <si>
    <t>AmoxicillinCapsule or tablet, 250 mg (anhydrous) Strip/blister</t>
  </si>
  <si>
    <t>AmoxicillinPowder for oral suspension, 250 mg/5ml</t>
  </si>
  <si>
    <t>AmpicillinInj.250mg</t>
  </si>
  <si>
    <t>inj</t>
  </si>
  <si>
    <t>Angiotensin inhibitor (enalapril maleate)5mg</t>
  </si>
  <si>
    <t>ArtesunateTab. 50mg</t>
  </si>
  <si>
    <t>Ascorbic AcidTab. 100mg</t>
  </si>
  <si>
    <t>Atenolol 50mg</t>
  </si>
  <si>
    <t>Atropine SulphateInjection 0.5 mg/ ml Amp of 1ml</t>
  </si>
  <si>
    <t>AtropineInj. Atropine 1mg</t>
  </si>
  <si>
    <t>BCG</t>
  </si>
  <si>
    <t>B-ComplexSyp. B.Complex with Lysine120ml</t>
  </si>
  <si>
    <t>B-ComplexTab.B-Complex+Minerals</t>
  </si>
  <si>
    <t>Benzoic Acid +Salicylic AcidOintment or Cream 6% + 3%</t>
  </si>
  <si>
    <t>Benzoyl benzoateLotion 25%</t>
  </si>
  <si>
    <t>BisacodylTablet 5mg</t>
  </si>
  <si>
    <t>CalaminLotion 15%</t>
  </si>
  <si>
    <t>Calcium LactateTab. 10mg</t>
  </si>
  <si>
    <t xml:space="preserve">ChloramphenicolEar drops </t>
  </si>
  <si>
    <t>ChloramphenicolEye drops 0.5%</t>
  </si>
  <si>
    <t>ChloramphenicolEye-oint. 1%</t>
  </si>
  <si>
    <t>Chlorine Concentrated solution or powder</t>
  </si>
  <si>
    <t>ChloroquineSyrup, 50 mg/5ml (as phosphate or sulphate)</t>
  </si>
  <si>
    <t>ChloroquineTablet, 150 mg (as phosphate or sulfate) Strip/blister</t>
  </si>
  <si>
    <t>ChlorpheniramineSyrup ,2 mg /5 ml</t>
  </si>
  <si>
    <t>ChlorpheniramineTablet , 4 mg Strip/blister</t>
  </si>
  <si>
    <t>CiprofloxacinTab. 500mg</t>
  </si>
  <si>
    <t>Clotrimazole1 % Cream</t>
  </si>
  <si>
    <t>gm</t>
  </si>
  <si>
    <t>DexamethasoneTablet 0.5mg Strip/blister</t>
  </si>
  <si>
    <t>DextranInjection 6%</t>
  </si>
  <si>
    <t>DextroseInfusion 5% 1000ml</t>
  </si>
  <si>
    <t>DextroseInfusion 5% 500ml</t>
  </si>
  <si>
    <t>DiazepamInjection, 5 mg/ml in 2-ml ampoule</t>
  </si>
  <si>
    <t>DiazepamTab 5mg</t>
  </si>
  <si>
    <t>Diclofenac SodiumInjection 75mg/3ml</t>
  </si>
  <si>
    <t>amp</t>
  </si>
  <si>
    <t>Diclofenac SodiumTab. 50mg and 75 mg</t>
  </si>
  <si>
    <t>DigoxinTab. 250mcg</t>
  </si>
  <si>
    <t>Diloxanide FuroateTablets 500 mg</t>
  </si>
  <si>
    <t>DimenhydrinateInj. 10mg/2ml</t>
  </si>
  <si>
    <t>DimenhydrinateSyp.12.5mg/4ml</t>
  </si>
  <si>
    <t>DimenhydrinateTab.50mg</t>
  </si>
  <si>
    <t>Dispirin CV / LoprinTab. 75mg</t>
  </si>
  <si>
    <t>Doxycycline Cap. 100mg</t>
  </si>
  <si>
    <t>ErgometrineInj. 200mcg/ml</t>
  </si>
  <si>
    <t>ErythromycinSuspension 200mg/5ml</t>
  </si>
  <si>
    <t>ErythromycinTab. 250mg</t>
  </si>
  <si>
    <t>EthambutolTablet, 400 mg Strip/blister</t>
  </si>
  <si>
    <t>Ferrous SaltSyp. 25mg iron/ml</t>
  </si>
  <si>
    <t>FluoxetineCap 20mg</t>
  </si>
  <si>
    <t>cap</t>
  </si>
  <si>
    <t>Folic acidTab. 5mg</t>
  </si>
  <si>
    <t>FurosemideInjection Furosemide 20 mg/2ml (Amp of 2ml)</t>
  </si>
  <si>
    <t>FurosemideTablets 40 mg Strip/blister</t>
  </si>
  <si>
    <t xml:space="preserve">Gentian violetPaint 0.5%, </t>
  </si>
  <si>
    <t>GlibenclamideTab 5mg</t>
  </si>
  <si>
    <t>Glucose with sodium chlorideInjectable solution, 5% glucose, 0.18% sodium chloride 500ml with IV set</t>
  </si>
  <si>
    <t>Glucose with sodium chlorideInjectable solution, 5% glucose, 0.9% sodium chloride 1000ml with IV set</t>
  </si>
  <si>
    <t>GlycerineSuppository</t>
  </si>
  <si>
    <t>Glyceryl TrinitrateSublingual Tab. 0.5 mg</t>
  </si>
  <si>
    <t>GriseofulvinCapsules or Tablets 125 mg,</t>
  </si>
  <si>
    <t>HaemaccelInjectable solution 500ml With</t>
  </si>
  <si>
    <t>HydrochlorthiazideTablets 50 mg</t>
  </si>
  <si>
    <t>HydrocortisonePowder for inj.250mg (assodium succinate )in vial</t>
  </si>
  <si>
    <t>HydrocortisonePowder for injection , 100mg(as sodium succinate )in vial</t>
  </si>
  <si>
    <t>Hydrogen peroxideSoln. 6%</t>
  </si>
  <si>
    <t>Hyoscine butyl bromideInj. 20mg/2ml</t>
  </si>
  <si>
    <t>Hyoscine butyl bromideTablet10 mg</t>
  </si>
  <si>
    <t>Insulin Inj. 100 IU/ml</t>
  </si>
  <si>
    <t>InsulinInj. 40 IU/ml</t>
  </si>
  <si>
    <t>Isoniazide + EthambutolTablet, 150 mg + 400 mg Strip/blister</t>
  </si>
  <si>
    <t>IsoniazideTab 100mg</t>
  </si>
  <si>
    <t>IsosorbidedinitrateInj. 10mg/10ml</t>
  </si>
  <si>
    <t>IspaghullaIspaghulla Husk</t>
  </si>
  <si>
    <t>Levonorgestrel + ethinyl oestradiol Tab. 150mg + 30mg</t>
  </si>
  <si>
    <t>LevonorgestrelTab 30mcg, 750mcg, 1.5mg</t>
  </si>
  <si>
    <t>lignocaineInjection,2%(hydrochloride)in 10 -ml ampoule</t>
  </si>
  <si>
    <t>lignocaineTopical forms, 2% (HCl)</t>
  </si>
  <si>
    <t>Magnesium sulphateInj. 500mg/ml</t>
  </si>
  <si>
    <t>MebendazoleSyp 100mg/5ml in 30ml</t>
  </si>
  <si>
    <t>MebendazoleTablet,100 mg Strip/blister</t>
  </si>
  <si>
    <t>Medroxyprogesterone acetate (12 weekly)Inj. 150mg</t>
  </si>
  <si>
    <t>MedroxyprogesteroneTab. 5mg</t>
  </si>
  <si>
    <t>MetforminTablet HCI 500 mg</t>
  </si>
  <si>
    <t>MethyldopaTab. 250mg</t>
  </si>
  <si>
    <t>MetronidazoleOral suspension, 200 mg (as benzoate)/5 ml</t>
  </si>
  <si>
    <t>MetronidazoleTablet, 400 mg Strip/blister</t>
  </si>
  <si>
    <t>MiconazoleOintment or Cream 2%</t>
  </si>
  <si>
    <t>MisoprostolTab. 200mcg</t>
  </si>
  <si>
    <t>Nalidixic AcidTablets 250 mg, 500 mg</t>
  </si>
  <si>
    <t>NaloxoneInj. 400mcg/ml</t>
  </si>
  <si>
    <t>Neomycin +BacitracinOintment 5 mg + 500 IU</t>
  </si>
  <si>
    <t>Norethisterone + ethinyl oestradiol Tab. 1mg + 35mcg</t>
  </si>
  <si>
    <t>Norethisterone enantate (8 weekly)Inj. 200mg/ml</t>
  </si>
  <si>
    <t>NorfloxacinTablets 400 mg</t>
  </si>
  <si>
    <t>NystatinOral drops100,000 iu/ml</t>
  </si>
  <si>
    <t>NystatinTab 500,000 iu,</t>
  </si>
  <si>
    <t>OestradiolTab. 0.5mg</t>
  </si>
  <si>
    <t>OmeprazoleCap. 20mg</t>
  </si>
  <si>
    <t>Oral rehydration salt, glucose-salt solutionDry mixture (reduceosmolarity / glucose 75 meq/ 1, Sodium 75 meq / 1, Chloride 65 meq / 1, Potassium 20 meq/ 1, Citrate 10 meq / 1) insachet for 1 liter of solution</t>
  </si>
  <si>
    <t>pack</t>
  </si>
  <si>
    <t>Oral rehydration salt, glucose-salt solutionDry mixture(WHO formula) in sachet for 1 liter of soln.</t>
  </si>
  <si>
    <t>OxytocinInj. 10IU/ml</t>
  </si>
  <si>
    <t xml:space="preserve">Pentavalent </t>
  </si>
  <si>
    <t>Permethrin Cream 2.5%</t>
  </si>
  <si>
    <t>Polymixin B +Bacitracin ZincPolymyxin B Sulphate</t>
  </si>
  <si>
    <t>PolymyxinB + Bacitracin ZincEye oint. 10,000iu+500iu</t>
  </si>
  <si>
    <t>PolymyxinB+LignocaineHClEar Drops PolymyxinB 10,000iu+ Lignocaine HCl 50mg</t>
  </si>
  <si>
    <t>Povidone iodineSolution , 10%</t>
  </si>
  <si>
    <t>Prednisolone tab 5 mg</t>
  </si>
  <si>
    <t>Primaquine Tab 5 mg</t>
  </si>
  <si>
    <t>PropranololTablet 40mg Strips/blister</t>
  </si>
  <si>
    <t>PyridoxineTab. 50mg</t>
  </si>
  <si>
    <t>RanitidineTablets 150 mg</t>
  </si>
  <si>
    <t>Rifampacin + Isoniazide + Pyrazinamide+EthamutolTab.,150mg+75mg+400mg+275mg strip/blister</t>
  </si>
  <si>
    <t>Rifampicin+IsoniazidTablet, 150 mg + 100 mg strip/blister</t>
  </si>
  <si>
    <t>Rifampicin+IsoniazidTablet, 300 mg + 150 mg Strip/blister</t>
  </si>
  <si>
    <t>Ringer's LactateInjectable solution 1000ml with IV set</t>
  </si>
  <si>
    <t>Ringer's LactateInjectable solution 500ml With IV set</t>
  </si>
  <si>
    <t>SalbutamolRespirator solution, for use in nebulizers, 5mg (as sulfate)/ml</t>
  </si>
  <si>
    <t xml:space="preserve">SalbutamolSyp. </t>
  </si>
  <si>
    <t>SalbutamolTablet 4mg</t>
  </si>
  <si>
    <t>Silver sulphadiazene1% cream</t>
  </si>
  <si>
    <t>Soda glycerineEar drops</t>
  </si>
  <si>
    <t>Sodium chlorideInjectable soln.0.9%isotonic1000ml</t>
  </si>
  <si>
    <t>Spironolactone 25mg tab</t>
  </si>
  <si>
    <t>StreptomycinPowder for injection, 1g (assulfate) in vial</t>
  </si>
  <si>
    <t>Sulfadoxin+PyrimethamineSyp. Sulfadoxin500mg+Pyrimethamine25mg/5ml</t>
  </si>
  <si>
    <t>Sulfadoxin+PyrimethamineTab. Sulfadoxin500mg+Pyrimethamine25mg</t>
  </si>
  <si>
    <t>Sulfamethoxazole + TrimethoprimTablet, 400 mg + 80mg strip/blister</t>
  </si>
  <si>
    <t>SulphacetamideEye drops 10% in 10ml</t>
  </si>
  <si>
    <t>Tetracycline Eye oint. 1%</t>
  </si>
  <si>
    <t>mg</t>
  </si>
  <si>
    <t>Tetracycline Oint. 1%</t>
  </si>
  <si>
    <t>TetracyclineCapsules 250 mg</t>
  </si>
  <si>
    <t>TheophyllinTab.SR 350mg</t>
  </si>
  <si>
    <t>TinidazoleTablets 500 mg</t>
  </si>
  <si>
    <t>TremadolInj. 100 mg</t>
  </si>
  <si>
    <t>TriprolidineHCl. +Pseudoephedrine HCl +Dextromethorphan HBr.Syrup 5ml</t>
  </si>
  <si>
    <t>Vitamin ATab. 50,000iu</t>
  </si>
  <si>
    <t xml:space="preserve">Zinc sulphateSyp </t>
  </si>
  <si>
    <t>Zinc sulphateTab 20mg</t>
  </si>
  <si>
    <t>Standard Packaging</t>
  </si>
  <si>
    <t>Standard package</t>
  </si>
  <si>
    <t>Cost (PKR)</t>
  </si>
  <si>
    <t>Useage per dose</t>
  </si>
  <si>
    <t>Qty</t>
  </si>
  <si>
    <t>Standard Package</t>
  </si>
  <si>
    <t>Cost per use (PKR)</t>
  </si>
  <si>
    <t>cost (PKR)</t>
  </si>
  <si>
    <t>unit</t>
  </si>
  <si>
    <t>Bandage gauze cotton, 10cm x 4m, with selvedge,</t>
  </si>
  <si>
    <t xml:space="preserve">Bandage, elastic cotton crepe, 7.5cm x 5m, roll </t>
  </si>
  <si>
    <t>bandage</t>
  </si>
  <si>
    <t>roll</t>
  </si>
  <si>
    <t>Foley catheter sterile CH 18</t>
  </si>
  <si>
    <t>Foley catheter, sterile CH 10</t>
  </si>
  <si>
    <t>foley</t>
  </si>
  <si>
    <t>Foley catheter, sterile CH 12</t>
  </si>
  <si>
    <t>Foley catheter, sterile CH 14</t>
  </si>
  <si>
    <t>Foley catheter, sterile CH 16</t>
  </si>
  <si>
    <t>Gauze bandage 5cmx10m, absorbent wow</t>
  </si>
  <si>
    <t>Gauze pad / compress 10cm x 10cm, 12 ply sterile</t>
  </si>
  <si>
    <t>mtr</t>
  </si>
  <si>
    <t>Glove, examination, latex, non-sterile</t>
  </si>
  <si>
    <t>box</t>
  </si>
  <si>
    <t>cannula</t>
  </si>
  <si>
    <t>Needle disp 19G (1.1x40mm)</t>
  </si>
  <si>
    <t>Needle disp 21G (0.8x40mm)</t>
  </si>
  <si>
    <t>Needle disp 22G (0.7x30mm)</t>
  </si>
  <si>
    <t>Needle disp 23G (0.6x25mm)</t>
  </si>
  <si>
    <t>Needle disp 25G (0.5x16mm)</t>
  </si>
  <si>
    <t>Needle Luer, IM, disposable, 21G (0.8x38mm)</t>
  </si>
  <si>
    <t>Needle, scalp vein infusion set, disposable, 25 G (0.5x19mm)</t>
  </si>
  <si>
    <t>Razor safety, stainless steel</t>
  </si>
  <si>
    <t>dozen</t>
  </si>
  <si>
    <t>Suction tube CH 10, 50cm, sterile, disp, PVC</t>
  </si>
  <si>
    <t>Suction tube CH 14, 50cm, sterile, disp, PVC</t>
  </si>
  <si>
    <t>Suction tube CH 16, 50cm, sterile, disp, PVC</t>
  </si>
  <si>
    <t>Suction tube CH 8, 50cm, sterile, disp, PVC</t>
  </si>
  <si>
    <t>Syringe 10 ml with needle</t>
  </si>
  <si>
    <t xml:space="preserve">Tape adhesive, Zinc Oxide, </t>
  </si>
  <si>
    <t>Tongue depressor (wooden), disposable</t>
  </si>
  <si>
    <t>Syringe 5cc, Luer, sterile disposable, two piece (P/P or PEF)</t>
  </si>
  <si>
    <t>Syringe 50/60cc, Luer lock sterile disp, concentric tip</t>
  </si>
  <si>
    <t>Medicines</t>
  </si>
  <si>
    <t>Medicine List and Per Unit Cost</t>
  </si>
  <si>
    <t>Adj. Unit</t>
  </si>
  <si>
    <t>Adjustments</t>
  </si>
  <si>
    <t>Wastage</t>
  </si>
  <si>
    <t>Transportation</t>
  </si>
  <si>
    <t>Supplies List and Unit Cost</t>
  </si>
  <si>
    <t>adj.</t>
  </si>
  <si>
    <t>Chromic catgut sutures</t>
  </si>
  <si>
    <t>% cases</t>
  </si>
  <si>
    <t>Clean Delivery Kit</t>
  </si>
  <si>
    <t>Child with Pneumonia</t>
  </si>
  <si>
    <t>Child with Diarrhea no Dehydration</t>
  </si>
  <si>
    <t>Child with Diarrhea and Some Dehydration</t>
  </si>
  <si>
    <t>Child with Fever</t>
  </si>
  <si>
    <t>Pneumococcal</t>
  </si>
  <si>
    <t>Syringe for immunisation</t>
  </si>
  <si>
    <t>Condoms Male</t>
  </si>
  <si>
    <t>IUCDs- Copper T</t>
  </si>
  <si>
    <t>1 piece</t>
  </si>
  <si>
    <t>cycle</t>
  </si>
  <si>
    <t>Family Planning: Condoms</t>
  </si>
  <si>
    <t>Family Planning: Oral Contraceptives</t>
  </si>
  <si>
    <t>Family Planning: Injectables</t>
  </si>
  <si>
    <t>Endemic Communicable: Common Cold</t>
  </si>
  <si>
    <t>Benzyl Penicillin 1.2 MIU</t>
  </si>
  <si>
    <t>1 vial</t>
  </si>
  <si>
    <t>g</t>
  </si>
  <si>
    <t>Sexually Transmitted Infections</t>
  </si>
  <si>
    <t>Urinary Tract Infection</t>
  </si>
  <si>
    <t>Punjab</t>
  </si>
  <si>
    <t>Total Population</t>
  </si>
  <si>
    <t>Male Population</t>
  </si>
  <si>
    <t>Female Population</t>
  </si>
  <si>
    <t>MWRA</t>
  </si>
  <si>
    <t>Children Under 5</t>
  </si>
  <si>
    <t>Children 12-23 months</t>
  </si>
  <si>
    <t>WRA</t>
  </si>
  <si>
    <t>Live Births</t>
  </si>
  <si>
    <t>MMR (per 100,000 LB)</t>
  </si>
  <si>
    <t>NMR (per 1,000 LB)</t>
  </si>
  <si>
    <t>IMR (per 1,000 LB)</t>
  </si>
  <si>
    <t>U5MR</t>
  </si>
  <si>
    <t>Maternal Deaths</t>
  </si>
  <si>
    <t>Infant Deaths</t>
  </si>
  <si>
    <t>Neonatal Deaths (less than 28 days)</t>
  </si>
  <si>
    <t>Under 5 Deaths</t>
  </si>
  <si>
    <t>Salaries: Direct</t>
  </si>
  <si>
    <t>Salaries: Indirect</t>
  </si>
  <si>
    <t>Operational Cost</t>
  </si>
  <si>
    <t>Management Overhead</t>
  </si>
  <si>
    <t>Child: Diarrhea (some dehydration)</t>
  </si>
  <si>
    <t>Child: Diarrhea (no dehydration)</t>
  </si>
  <si>
    <t>Child: Fever</t>
  </si>
  <si>
    <t>Fully Immunised Child</t>
  </si>
  <si>
    <t>Family Planning: Pills</t>
  </si>
  <si>
    <t>Family Planning: Injection</t>
  </si>
  <si>
    <t>Endemic Communicable Disease: Common cold and cough</t>
  </si>
  <si>
    <t>Hepatitus B</t>
  </si>
  <si>
    <t>Salaries</t>
  </si>
  <si>
    <t xml:space="preserve">Lab </t>
  </si>
  <si>
    <t>Total Indirect Salaries</t>
  </si>
  <si>
    <t xml:space="preserve">Total </t>
  </si>
  <si>
    <t>Total Direct Salaries</t>
  </si>
  <si>
    <t>Indirect Salaries Charge Rate</t>
  </si>
  <si>
    <t>Inflation</t>
  </si>
  <si>
    <t>Other Stores</t>
  </si>
  <si>
    <t>Operating Expenditure</t>
  </si>
  <si>
    <t>Depreciation</t>
  </si>
  <si>
    <t>PKR</t>
  </si>
  <si>
    <t>Total Cost per Case</t>
  </si>
  <si>
    <t xml:space="preserve">Medicines, Supplies&amp;Lab </t>
  </si>
  <si>
    <t>USD</t>
  </si>
  <si>
    <t>USD Exchnage</t>
  </si>
  <si>
    <t>Cost Per Service Provided</t>
  </si>
  <si>
    <t>Lumpsum</t>
  </si>
  <si>
    <t>Expenditure Category</t>
  </si>
  <si>
    <t>Monthly</t>
  </si>
  <si>
    <t>Annual</t>
  </si>
  <si>
    <t>Notes</t>
  </si>
  <si>
    <t>Operational Cost as % of staff cost</t>
  </si>
  <si>
    <t>Operational Expenditure</t>
  </si>
  <si>
    <t>Test</t>
  </si>
  <si>
    <t>Diagnostics and Cost</t>
  </si>
  <si>
    <t>Medicines and Supplies</t>
  </si>
  <si>
    <t>Catchment Population</t>
  </si>
  <si>
    <t>Items</t>
  </si>
  <si>
    <t xml:space="preserve">Stethoscope </t>
  </si>
  <si>
    <t>Clinical thermometer</t>
  </si>
  <si>
    <t>Examination torch</t>
  </si>
  <si>
    <t>ENT diagnostic set</t>
  </si>
  <si>
    <t>Examination couch</t>
  </si>
  <si>
    <t>Revolving stool</t>
  </si>
  <si>
    <t>ORS measuring jug</t>
  </si>
  <si>
    <t>Tape measure for nutrition assessment</t>
  </si>
  <si>
    <t>Tuning fork</t>
  </si>
  <si>
    <t>Patella hammer</t>
  </si>
  <si>
    <t>Dressing trays</t>
  </si>
  <si>
    <t>Dressing scissors</t>
  </si>
  <si>
    <t>Kidney tray- large size</t>
  </si>
  <si>
    <t>Bowl large size</t>
  </si>
  <si>
    <t>Screen four fold</t>
  </si>
  <si>
    <t>Cold box refrigerator for EPI</t>
  </si>
  <si>
    <t xml:space="preserve">Breast pumps </t>
  </si>
  <si>
    <t>Stretcher</t>
  </si>
  <si>
    <t>Tourniquet</t>
  </si>
  <si>
    <t>Red buckets (infectious waste)</t>
  </si>
  <si>
    <t>Bed with side table/locker</t>
  </si>
  <si>
    <t>Baby cots</t>
  </si>
  <si>
    <t>Patient trolley</t>
  </si>
  <si>
    <t>Peak flow meter</t>
  </si>
  <si>
    <t>Bedding clothing</t>
  </si>
  <si>
    <t>Foam mattress</t>
  </si>
  <si>
    <t>Adult blankets</t>
  </si>
  <si>
    <t>Plastic chairs (for in-patient attendants)</t>
  </si>
  <si>
    <t>Normal delivery set</t>
  </si>
  <si>
    <t>D&amp;C set</t>
  </si>
  <si>
    <t>ILR/Deep Freezer</t>
  </si>
  <si>
    <t>Ice box</t>
  </si>
  <si>
    <t>Ice packs</t>
  </si>
  <si>
    <t>Centrifuge machine</t>
  </si>
  <si>
    <t>Stop watch</t>
  </si>
  <si>
    <t>Refrigerator</t>
  </si>
  <si>
    <t>Binocular microscope</t>
  </si>
  <si>
    <t>Glucometer</t>
  </si>
  <si>
    <t>Dental hand instruments (set)</t>
  </si>
  <si>
    <t>Dental Autoclave</t>
  </si>
  <si>
    <t>Dental X-ray unit</t>
  </si>
  <si>
    <t>Intraoral X-ray film processor</t>
  </si>
  <si>
    <t>X-ray view box</t>
  </si>
  <si>
    <t>Ultrasonic scaler</t>
  </si>
  <si>
    <t>Dental operating stool</t>
  </si>
  <si>
    <t>Dressing Drum( large size)</t>
  </si>
  <si>
    <t>Metallic Catheter (1-12)</t>
  </si>
  <si>
    <t>Hot Water Bottles</t>
  </si>
  <si>
    <t>Direct opthalmoscope</t>
  </si>
  <si>
    <t>Illuminated vision testing drum</t>
  </si>
  <si>
    <t>Trial lens sets with trial frames</t>
  </si>
  <si>
    <t>Battery operated torch</t>
  </si>
  <si>
    <t>Office Table with 3 Drawers</t>
  </si>
  <si>
    <t>Office Chairs</t>
  </si>
  <si>
    <t>Office Rack Wooden</t>
  </si>
  <si>
    <t>Steel Almirah</t>
  </si>
  <si>
    <t>Computer with accessories, including internet access</t>
  </si>
  <si>
    <t>Ambulance</t>
  </si>
  <si>
    <t>Gas stove/ cylinder</t>
  </si>
  <si>
    <t>Equipment</t>
  </si>
  <si>
    <t>Total Cost (PKR)</t>
  </si>
  <si>
    <t>Depreciation (PKR)</t>
  </si>
  <si>
    <t>Stationery and printing</t>
  </si>
  <si>
    <t>Antenatal Care (4 visits)</t>
  </si>
  <si>
    <t>Postpartum (including 2 PNC visits)</t>
  </si>
  <si>
    <t>Cost per Capita</t>
  </si>
  <si>
    <t>Fixed Costs</t>
  </si>
  <si>
    <t>Variable Costs</t>
  </si>
  <si>
    <t>Capacity Utilisation</t>
  </si>
  <si>
    <t>Cost excluding prinitng</t>
  </si>
  <si>
    <t>Cost Per Capita</t>
  </si>
  <si>
    <t>Fixed and Variable Costs</t>
  </si>
  <si>
    <t>Additional Facilities Required</t>
  </si>
  <si>
    <t>Cost Projections for Increase in Coverage: RHC</t>
  </si>
  <si>
    <t>Variable Cost</t>
  </si>
  <si>
    <t xml:space="preserve">Fixed Cost </t>
  </si>
  <si>
    <t>Total Cost per Capita</t>
  </si>
  <si>
    <t>variable cost</t>
  </si>
  <si>
    <t>fixed cost</t>
  </si>
  <si>
    <t>40,000</t>
  </si>
  <si>
    <t>75,000</t>
  </si>
  <si>
    <t>125,000</t>
  </si>
  <si>
    <t>175,000</t>
  </si>
  <si>
    <t>200,000</t>
  </si>
  <si>
    <t>Sensitivity: +7.5%</t>
  </si>
  <si>
    <t>Sensitivity: -7.5%</t>
  </si>
  <si>
    <t>Increase Coverage from Baseline by:</t>
  </si>
  <si>
    <t>Change Salaries by:</t>
  </si>
  <si>
    <t>Change Operational cost by:</t>
  </si>
  <si>
    <t>Increase</t>
  </si>
  <si>
    <t>Decrease</t>
  </si>
  <si>
    <t>No Change</t>
  </si>
  <si>
    <t>Standard Estimates</t>
  </si>
  <si>
    <t>Scenario Projection</t>
  </si>
  <si>
    <t>Cost per capita: Scenario Projection</t>
  </si>
  <si>
    <t>Cost per capita: Standard Estimates</t>
  </si>
  <si>
    <t>Utilisation: Standard Estimates</t>
  </si>
  <si>
    <t>Utilisation: Scenario Projections</t>
  </si>
  <si>
    <t>Number of cases (excluding immunisation)</t>
  </si>
  <si>
    <t>Fully immunised children</t>
  </si>
  <si>
    <t>Running Cost</t>
  </si>
  <si>
    <t>Cost for treatment</t>
  </si>
  <si>
    <t>Cost for immunisation</t>
  </si>
  <si>
    <t>Cost per Delivery</t>
  </si>
  <si>
    <t>Cost per ANC package (4 visits)</t>
  </si>
  <si>
    <t>Cost per PNC package (2 visits)</t>
  </si>
  <si>
    <t>Cost per Newborn Care</t>
  </si>
  <si>
    <t>Cost per Child Pneumonia</t>
  </si>
  <si>
    <t>Cost per Child Wheeze</t>
  </si>
  <si>
    <t>Cost per Child Ear Infection</t>
  </si>
  <si>
    <t>Cost per Child Diarrhea</t>
  </si>
  <si>
    <t>Cost per Child Dysentry</t>
  </si>
  <si>
    <t>Cost per Child Fever</t>
  </si>
  <si>
    <t>Cost per Other treatments</t>
  </si>
  <si>
    <t>Developed by: Afeef Mahmood</t>
  </si>
  <si>
    <t>Funded Through: Technical Resource Facility</t>
  </si>
  <si>
    <t>Syringe, 5 ml, with needle</t>
  </si>
  <si>
    <t>Vitamin K. Injection 10mg per 1 ml</t>
  </si>
  <si>
    <t>X-Ray</t>
  </si>
  <si>
    <t>BHU 24h</t>
  </si>
  <si>
    <t>Useful Life</t>
  </si>
  <si>
    <t>RHC+</t>
  </si>
  <si>
    <t>s</t>
  </si>
  <si>
    <t>Adult stethoscope</t>
  </si>
  <si>
    <t>e</t>
  </si>
  <si>
    <t>Adult weighing scale</t>
  </si>
  <si>
    <t>Aircushion Rubber</t>
  </si>
  <si>
    <t>Amalgamator</t>
  </si>
  <si>
    <t>Ambu Bag (child, adult, infant)</t>
  </si>
  <si>
    <t>Anaesthesia Machine</t>
  </si>
  <si>
    <t xml:space="preserve">Aprons/ Macintosh </t>
  </si>
  <si>
    <t>Forceps (8 inches, curved, straight, 6 inches, non-toothed, artery, chealte, dissecting, green armtage, kocher, mcgill, obstretic, outlet, sponge holder, tissue plain, toothed and 8 inches, valsellum)</t>
  </si>
  <si>
    <t>Aseptic Trolley</t>
  </si>
  <si>
    <t xml:space="preserve">Autoclaves </t>
  </si>
  <si>
    <t>Ayre’s spatula</t>
  </si>
  <si>
    <t xml:space="preserve">Baby blankets </t>
  </si>
  <si>
    <t>Baby weighing scale</t>
  </si>
  <si>
    <t>Basin</t>
  </si>
  <si>
    <t>Basin Stands</t>
  </si>
  <si>
    <t>Bed sheets</t>
  </si>
  <si>
    <t>Bedpans</t>
  </si>
  <si>
    <t>Bench fibre glass</t>
  </si>
  <si>
    <t>Benches for patient attendants</t>
  </si>
  <si>
    <t>Billirubino-meter</t>
  </si>
  <si>
    <t>Bio Chemistry Analyzer</t>
  </si>
  <si>
    <t>Blankets</t>
  </si>
  <si>
    <t>Blood Bag Shaker</t>
  </si>
  <si>
    <t>Blood Grouping Viewing Box</t>
  </si>
  <si>
    <t>Blood pressure cuff</t>
  </si>
  <si>
    <t>Blood Storage Cabinet (100 bag capacity)</t>
  </si>
  <si>
    <t>Blood Thawing Bath</t>
  </si>
  <si>
    <t>BP apparatus (mercury)</t>
  </si>
  <si>
    <t>BP Blades</t>
  </si>
  <si>
    <t>BP Handle</t>
  </si>
  <si>
    <t>Bulb Sucker</t>
  </si>
  <si>
    <t>Centrifuge Tubes (Glass)</t>
  </si>
  <si>
    <t>Centrifuge Tubes(Plastic)</t>
  </si>
  <si>
    <t>Chair for health worker</t>
  </si>
  <si>
    <t>Chairs for caretakers</t>
  </si>
  <si>
    <t>Chargeable Light</t>
  </si>
  <si>
    <t>Container for thermometer</t>
  </si>
  <si>
    <t>Couscous specula (Small, Medium, Large for each category)</t>
  </si>
  <si>
    <t>CTG (cardiac tocography)</t>
  </si>
  <si>
    <t>Defibrillator</t>
  </si>
  <si>
    <t>Dental unit (complete with chair, light, hand piece unit with hand pieces, suction and compressor</t>
  </si>
  <si>
    <t>Dissecting Scissors (curved) 7 inches</t>
  </si>
  <si>
    <t>DLC counter</t>
  </si>
  <si>
    <t>Double Cuff Tourniquet (for reginal block)</t>
  </si>
  <si>
    <t>Retractors (Doyene's, small, anterior vaginal wall)</t>
  </si>
  <si>
    <t xml:space="preserve">Dressing drum </t>
  </si>
  <si>
    <t>Episiotomy Scissors</t>
  </si>
  <si>
    <t>ESR Pipettes</t>
  </si>
  <si>
    <t>ESR Racks.</t>
  </si>
  <si>
    <t>Examination light</t>
  </si>
  <si>
    <t>Fetal Stethoscope</t>
  </si>
  <si>
    <t>Foam pillows</t>
  </si>
  <si>
    <t>Foot steps</t>
  </si>
  <si>
    <t>Gas Burner</t>
  </si>
  <si>
    <t>Glass Pipettes various sizes corrected</t>
  </si>
  <si>
    <t>Glass rods</t>
  </si>
  <si>
    <t>Green/white/blue buckets (non-infectious waste)</t>
  </si>
  <si>
    <t>Haemocytometer</t>
  </si>
  <si>
    <t>Hematology Analyzer</t>
  </si>
  <si>
    <t xml:space="preserve">Incubator </t>
  </si>
  <si>
    <t>Infant BP Apparatus</t>
  </si>
  <si>
    <t>Infant Length Measuring Scale</t>
  </si>
  <si>
    <t>Infant Weighing Machine</t>
  </si>
  <si>
    <t>Instrument trolley</t>
  </si>
  <si>
    <t>Instruments Cabinet Large size</t>
  </si>
  <si>
    <t xml:space="preserve">IV stand </t>
  </si>
  <si>
    <t>Labour /Delivery Table with washable plastic cover</t>
  </si>
  <si>
    <t>Laryngoscope</t>
  </si>
  <si>
    <t>Leakproof containers with tight-fitting lids or plastic bags for disposing of contaminated items</t>
  </si>
  <si>
    <t>Light examination, mobile, 220-12 V</t>
  </si>
  <si>
    <t>Linen sheets for couch/beds</t>
  </si>
  <si>
    <t>Micro Pipette</t>
  </si>
  <si>
    <t>Myoma Scissors Straight 7 inches</t>
  </si>
  <si>
    <t>Nebulizer</t>
  </si>
  <si>
    <t>Needle Holder (simple, forceps, holder etc)</t>
  </si>
  <si>
    <t>Nose Speculum</t>
  </si>
  <si>
    <t>Operation table</t>
  </si>
  <si>
    <t>Oxygen Cylinder (all types)</t>
  </si>
  <si>
    <t>Paediatric Ventilator</t>
  </si>
  <si>
    <t>Patient’s stool</t>
  </si>
  <si>
    <t>Pedal suction machine - manual</t>
  </si>
  <si>
    <t xml:space="preserve">Photo Therapy Unit </t>
  </si>
  <si>
    <t>Pinard fetoscope</t>
  </si>
  <si>
    <t>Pipette stands</t>
  </si>
  <si>
    <t>Plan vision testing chart</t>
  </si>
  <si>
    <t>Portable Ultrasound</t>
  </si>
  <si>
    <t>Pressure cooker</t>
  </si>
  <si>
    <t>Pressure cooker autoclaves</t>
  </si>
  <si>
    <t>Proctoscope</t>
  </si>
  <si>
    <t>Pulse Oximeter</t>
  </si>
  <si>
    <t>Radiant warmer/heater for newborn</t>
  </si>
  <si>
    <t>Reagent Bottles</t>
  </si>
  <si>
    <t>Resuscitator, hand-operated, neonate, 500ml</t>
  </si>
  <si>
    <t>Room Thermometer</t>
  </si>
  <si>
    <t>Sahli Haemoglobinometer</t>
  </si>
  <si>
    <t>Scalpel</t>
  </si>
  <si>
    <t>Scissors (simple, straight)</t>
  </si>
  <si>
    <t>Shadow less Lamps</t>
  </si>
  <si>
    <t>Sim’s vaginal speculum – single &amp; double ended - (each of small,  medium and large size)</t>
  </si>
  <si>
    <t>Sims Speculum Double Blade</t>
  </si>
  <si>
    <t>Sims Speculum Single Blade</t>
  </si>
  <si>
    <t>Snellen and near vision charts</t>
  </si>
  <si>
    <t>Sphygmomanometer cuff</t>
  </si>
  <si>
    <t>Standard surgical set (for minor procedures like episiotomy stitching)</t>
  </si>
  <si>
    <t>Static Ultrasound</t>
  </si>
  <si>
    <t xml:space="preserve">Sterilizer </t>
  </si>
  <si>
    <t>Table</t>
  </si>
  <si>
    <t>Table lamp.</t>
  </si>
  <si>
    <t>Test Tube Holder</t>
  </si>
  <si>
    <t>Test tubes</t>
  </si>
  <si>
    <t>Timing device/watch with second hand</t>
  </si>
  <si>
    <t>Towels for drying and wrapping the baby</t>
  </si>
  <si>
    <t>Uterine elevator</t>
  </si>
  <si>
    <t>Vaccine carrier</t>
  </si>
  <si>
    <t>Vacuum Extractor Pump</t>
  </si>
  <si>
    <t>Ventilators</t>
  </si>
  <si>
    <t>Water Bath</t>
  </si>
  <si>
    <t>Weighing Scale, spring</t>
  </si>
  <si>
    <t>Wheel chair</t>
  </si>
  <si>
    <t>X-ray unit</t>
  </si>
  <si>
    <r>
      <t>IUD insertion kit</t>
    </r>
    <r>
      <rPr>
        <b/>
        <sz val="11"/>
        <rFont val="Calibri"/>
        <family val="2"/>
        <scheme val="minor"/>
      </rPr>
      <t xml:space="preserve"> </t>
    </r>
  </si>
  <si>
    <t>Equipment, Supplies and Depreciation</t>
  </si>
  <si>
    <t>Senior Clark</t>
  </si>
  <si>
    <t>Store keeper</t>
  </si>
  <si>
    <t>Ward servant</t>
  </si>
  <si>
    <t>Accountant</t>
  </si>
  <si>
    <t>OT assistant</t>
  </si>
  <si>
    <t>d</t>
  </si>
  <si>
    <t>per annum</t>
  </si>
  <si>
    <t>per month</t>
  </si>
  <si>
    <t>Under Reporting</t>
  </si>
  <si>
    <t>Number of Facilities</t>
  </si>
  <si>
    <t>source: Punjab development statistics, 2011</t>
  </si>
  <si>
    <t>Urban Population</t>
  </si>
  <si>
    <t>Rural Population</t>
  </si>
  <si>
    <t>Rural Populations</t>
  </si>
  <si>
    <t>Population above five</t>
  </si>
  <si>
    <t>Expected number of pregnancies</t>
  </si>
  <si>
    <t>Population above fifteen</t>
  </si>
  <si>
    <t>Micronutrient Sachet</t>
  </si>
  <si>
    <t>1 sachet</t>
  </si>
  <si>
    <t>Nutrition: Micronutrient Supplementation</t>
  </si>
  <si>
    <t>Nutrition: Micronutrient Supplementation (children)</t>
  </si>
  <si>
    <t>Current Population per BHU</t>
  </si>
  <si>
    <t>Cost Estimates for an average BHU</t>
  </si>
  <si>
    <t>Cost Estimates for an average BHU: Scenario Projections</t>
  </si>
  <si>
    <t>School Health and Nutrition Supervisor</t>
  </si>
  <si>
    <t>Naib Qasid</t>
  </si>
  <si>
    <t>Aya</t>
  </si>
  <si>
    <t>Lady Health Worker</t>
  </si>
  <si>
    <t>salter scale</t>
  </si>
  <si>
    <t>six type charts</t>
  </si>
  <si>
    <t>LHW kit bag</t>
  </si>
  <si>
    <t>Health house board</t>
  </si>
  <si>
    <t>pencil torch with batteries</t>
  </si>
  <si>
    <t>scissor</t>
  </si>
  <si>
    <t>dressing tray</t>
  </si>
  <si>
    <t>breast pump</t>
  </si>
  <si>
    <t>Model for Costing Essential Package for Health Services:                      Lady Health Worker</t>
  </si>
  <si>
    <t>As per MHSP supply list</t>
  </si>
  <si>
    <t>As per MHSP equipment list</t>
  </si>
  <si>
    <t>Department of Health, Government of  Sindh</t>
  </si>
  <si>
    <t>January,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</si>
</sst>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[$PKR]\ * #,##0_);_([$PKR]\ * \(#,##0\);_([$PKR]\ * &quot;-&quot;??_);_(@_)"/>
    <numFmt numFmtId="167" formatCode="0.0%"/>
    <numFmt numFmtId="168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55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rgb="FF7F7F7F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9" fillId="0" borderId="0">
      <alignment vertical="center"/>
    </xf>
  </cellStyleXfs>
  <cellXfs count="256">
    <xf numFmtId="0" fontId="0" fillId="0" borderId="0" xfId="0"/>
    <xf numFmtId="0" fontId="0" fillId="0" borderId="0" xfId="0"/>
    <xf numFmtId="0" fontId="1" fillId="3" borderId="2" xfId="5" applyBorder="1" applyAlignment="1">
      <alignment horizontal="center" vertical="center"/>
    </xf>
    <xf numFmtId="0" fontId="2" fillId="5" borderId="2" xfId="7" applyFont="1" applyBorder="1"/>
    <xf numFmtId="43" fontId="1" fillId="3" borderId="2" xfId="1" applyFill="1" applyBorder="1"/>
    <xf numFmtId="43" fontId="2" fillId="5" borderId="2" xfId="1" applyFont="1" applyFill="1" applyBorder="1"/>
    <xf numFmtId="43" fontId="1" fillId="3" borderId="2" xfId="1" applyFill="1" applyBorder="1" applyAlignment="1">
      <alignment wrapText="1"/>
    </xf>
    <xf numFmtId="0" fontId="2" fillId="8" borderId="2" xfId="4" applyFont="1" applyFill="1" applyBorder="1" applyAlignment="1">
      <alignment horizontal="center" vertical="center" wrapText="1"/>
    </xf>
    <xf numFmtId="0" fontId="2" fillId="8" borderId="2" xfId="4" applyFont="1" applyFill="1" applyBorder="1" applyAlignment="1">
      <alignment horizontal="center" vertical="center"/>
    </xf>
    <xf numFmtId="0" fontId="2" fillId="8" borderId="2" xfId="4" applyFont="1" applyFill="1" applyBorder="1" applyAlignment="1">
      <alignment horizontal="center" wrapText="1"/>
    </xf>
    <xf numFmtId="0" fontId="2" fillId="8" borderId="2" xfId="4" applyFont="1" applyFill="1" applyBorder="1" applyAlignment="1">
      <alignment horizontal="left" vertical="center" wrapText="1"/>
    </xf>
    <xf numFmtId="0" fontId="0" fillId="8" borderId="2" xfId="0" applyFill="1" applyBorder="1"/>
    <xf numFmtId="43" fontId="2" fillId="8" borderId="2" xfId="1" applyFont="1" applyFill="1" applyBorder="1" applyAlignment="1">
      <alignment horizontal="left" vertical="center" wrapText="1"/>
    </xf>
    <xf numFmtId="0" fontId="0" fillId="0" borderId="0" xfId="0"/>
    <xf numFmtId="164" fontId="1" fillId="3" borderId="2" xfId="1" applyNumberFormat="1" applyFill="1" applyBorder="1"/>
    <xf numFmtId="164" fontId="1" fillId="3" borderId="2" xfId="1" applyNumberFormat="1" applyFill="1" applyBorder="1" applyAlignment="1">
      <alignment horizont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1" applyNumberFormat="1" applyFill="1" applyBorder="1" applyAlignment="1">
      <alignment vertical="center"/>
    </xf>
    <xf numFmtId="1" fontId="3" fillId="3" borderId="2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0" fontId="8" fillId="5" borderId="2" xfId="7" applyFont="1" applyBorder="1" applyAlignment="1">
      <alignment horizontal="center"/>
    </xf>
    <xf numFmtId="43" fontId="3" fillId="3" borderId="2" xfId="1" applyFont="1" applyFill="1" applyBorder="1"/>
    <xf numFmtId="164" fontId="0" fillId="3" borderId="2" xfId="1" applyNumberFormat="1" applyFont="1" applyFill="1" applyBorder="1" applyAlignment="1">
      <alignment vertical="center"/>
    </xf>
    <xf numFmtId="164" fontId="8" fillId="5" borderId="2" xfId="1" applyNumberFormat="1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43" fontId="0" fillId="3" borderId="2" xfId="1" applyFont="1" applyFill="1" applyBorder="1"/>
    <xf numFmtId="0" fontId="1" fillId="11" borderId="2" xfId="6" applyFill="1" applyBorder="1"/>
    <xf numFmtId="164" fontId="1" fillId="11" borderId="2" xfId="1" applyNumberFormat="1" applyFill="1" applyBorder="1"/>
    <xf numFmtId="165" fontId="1" fillId="11" borderId="2" xfId="1" applyNumberFormat="1" applyFill="1" applyBorder="1"/>
    <xf numFmtId="164" fontId="2" fillId="8" borderId="2" xfId="0" applyNumberFormat="1" applyFont="1" applyFill="1" applyBorder="1"/>
    <xf numFmtId="43" fontId="0" fillId="0" borderId="0" xfId="0" applyNumberFormat="1"/>
    <xf numFmtId="164" fontId="0" fillId="11" borderId="2" xfId="1" applyNumberFormat="1" applyFont="1" applyFill="1" applyBorder="1"/>
    <xf numFmtId="0" fontId="2" fillId="8" borderId="4" xfId="4" applyFont="1" applyFill="1" applyBorder="1" applyAlignment="1">
      <alignment vertical="center"/>
    </xf>
    <xf numFmtId="9" fontId="1" fillId="11" borderId="2" xfId="3" applyFill="1" applyBorder="1"/>
    <xf numFmtId="9" fontId="0" fillId="11" borderId="2" xfId="3" applyFont="1" applyFill="1" applyBorder="1"/>
    <xf numFmtId="0" fontId="3" fillId="0" borderId="0" xfId="0" applyFont="1" applyAlignment="1">
      <alignment horizontal="center"/>
    </xf>
    <xf numFmtId="9" fontId="0" fillId="0" borderId="0" xfId="3" applyFont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10" fillId="11" borderId="2" xfId="6" applyFont="1" applyFill="1" applyBorder="1" applyProtection="1">
      <protection hidden="1"/>
    </xf>
    <xf numFmtId="165" fontId="11" fillId="11" borderId="2" xfId="1" applyNumberFormat="1" applyFont="1" applyFill="1" applyBorder="1" applyProtection="1">
      <protection hidden="1"/>
    </xf>
    <xf numFmtId="164" fontId="11" fillId="11" borderId="2" xfId="1" applyNumberFormat="1" applyFont="1" applyFill="1" applyBorder="1" applyProtection="1">
      <protection hidden="1"/>
    </xf>
    <xf numFmtId="164" fontId="10" fillId="11" borderId="2" xfId="1" applyNumberFormat="1" applyFont="1" applyFill="1" applyBorder="1" applyProtection="1">
      <protection hidden="1"/>
    </xf>
    <xf numFmtId="43" fontId="10" fillId="0" borderId="0" xfId="0" applyNumberFormat="1" applyFont="1" applyProtection="1">
      <protection hidden="1"/>
    </xf>
    <xf numFmtId="164" fontId="10" fillId="0" borderId="0" xfId="1" applyNumberFormat="1" applyFont="1" applyProtection="1">
      <protection hidden="1"/>
    </xf>
    <xf numFmtId="0" fontId="10" fillId="0" borderId="0" xfId="0" applyFont="1"/>
    <xf numFmtId="0" fontId="13" fillId="8" borderId="2" xfId="4" applyFont="1" applyFill="1" applyBorder="1" applyAlignment="1" applyProtection="1">
      <alignment horizontal="left" vertical="center" wrapText="1"/>
      <protection hidden="1"/>
    </xf>
    <xf numFmtId="164" fontId="13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11" borderId="2" xfId="6" applyFont="1" applyFill="1" applyBorder="1" applyAlignment="1" applyProtection="1">
      <alignment vertical="center"/>
      <protection hidden="1"/>
    </xf>
    <xf numFmtId="164" fontId="10" fillId="11" borderId="2" xfId="1" applyNumberFormat="1" applyFont="1" applyFill="1" applyBorder="1" applyAlignment="1" applyProtection="1">
      <alignment vertical="center"/>
      <protection hidden="1"/>
    </xf>
    <xf numFmtId="0" fontId="10" fillId="11" borderId="2" xfId="6" applyFont="1" applyFill="1" applyBorder="1" applyAlignment="1" applyProtection="1">
      <alignment wrapText="1"/>
      <protection hidden="1"/>
    </xf>
    <xf numFmtId="0" fontId="2" fillId="8" borderId="2" xfId="4" applyFont="1" applyFill="1" applyBorder="1" applyAlignment="1">
      <alignment horizontal="center" vertical="center" wrapText="1"/>
    </xf>
    <xf numFmtId="9" fontId="1" fillId="11" borderId="2" xfId="3" applyFill="1" applyBorder="1" applyAlignment="1" applyProtection="1">
      <alignment vertic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1" fillId="11" borderId="2" xfId="6" applyFill="1" applyBorder="1" applyProtection="1">
      <protection locked="0" hidden="1"/>
    </xf>
    <xf numFmtId="164" fontId="1" fillId="11" borderId="2" xfId="1" applyNumberFormat="1" applyFill="1" applyBorder="1" applyProtection="1">
      <protection locked="0" hidden="1"/>
    </xf>
    <xf numFmtId="9" fontId="1" fillId="11" borderId="2" xfId="3" applyFill="1" applyBorder="1" applyProtection="1">
      <protection locked="0" hidden="1"/>
    </xf>
    <xf numFmtId="164" fontId="1" fillId="11" borderId="2" xfId="1" applyNumberFormat="1" applyFill="1" applyBorder="1" applyProtection="1">
      <protection hidden="1"/>
    </xf>
    <xf numFmtId="165" fontId="1" fillId="11" borderId="2" xfId="1" applyNumberFormat="1" applyFill="1" applyBorder="1" applyProtection="1">
      <protection hidden="1"/>
    </xf>
    <xf numFmtId="164" fontId="0" fillId="11" borderId="2" xfId="1" applyNumberFormat="1" applyFont="1" applyFill="1" applyBorder="1" applyProtection="1">
      <protection locked="0" hidden="1"/>
    </xf>
    <xf numFmtId="9" fontId="0" fillId="11" borderId="2" xfId="3" applyFont="1" applyFill="1" applyBorder="1" applyProtection="1">
      <protection locked="0" hidden="1"/>
    </xf>
    <xf numFmtId="0" fontId="1" fillId="11" borderId="2" xfId="6" applyFill="1" applyBorder="1" applyProtection="1">
      <protection hidden="1"/>
    </xf>
    <xf numFmtId="166" fontId="1" fillId="11" borderId="2" xfId="6" applyNumberFormat="1" applyFill="1" applyBorder="1" applyProtection="1">
      <protection hidden="1"/>
    </xf>
    <xf numFmtId="0" fontId="1" fillId="11" borderId="2" xfId="6" applyFill="1" applyBorder="1" applyAlignment="1" applyProtection="1">
      <alignment wrapText="1"/>
      <protection locked="0" hidden="1"/>
    </xf>
    <xf numFmtId="165" fontId="0" fillId="11" borderId="2" xfId="1" applyNumberFormat="1" applyFont="1" applyFill="1" applyBorder="1" applyProtection="1">
      <protection locked="0" hidden="1"/>
    </xf>
    <xf numFmtId="165" fontId="1" fillId="11" borderId="2" xfId="1" applyNumberFormat="1" applyFill="1" applyBorder="1" applyProtection="1">
      <protection locked="0" hidden="1"/>
    </xf>
    <xf numFmtId="9" fontId="1" fillId="11" borderId="2" xfId="3" applyFill="1" applyBorder="1" applyProtection="1">
      <protection hidden="1"/>
    </xf>
    <xf numFmtId="9" fontId="0" fillId="11" borderId="2" xfId="3" applyFont="1" applyFill="1" applyBorder="1" applyProtection="1">
      <protection hidden="1"/>
    </xf>
    <xf numFmtId="164" fontId="1" fillId="11" borderId="2" xfId="1" applyNumberFormat="1" applyFill="1" applyBorder="1" applyAlignment="1" applyProtection="1">
      <alignment vertical="center"/>
      <protection locked="0" hidden="1"/>
    </xf>
    <xf numFmtId="165" fontId="1" fillId="11" borderId="2" xfId="1" applyNumberFormat="1" applyFill="1" applyBorder="1" applyAlignment="1" applyProtection="1">
      <alignment vertical="center"/>
      <protection locked="0" hidden="1"/>
    </xf>
    <xf numFmtId="9" fontId="1" fillId="11" borderId="2" xfId="3" applyFill="1" applyBorder="1" applyAlignment="1" applyProtection="1">
      <alignment vertical="center"/>
      <protection locked="0" hidden="1"/>
    </xf>
    <xf numFmtId="164" fontId="1" fillId="11" borderId="2" xfId="1" applyNumberFormat="1" applyFill="1" applyBorder="1" applyAlignment="1" applyProtection="1">
      <alignment vertical="center"/>
      <protection hidden="1"/>
    </xf>
    <xf numFmtId="165" fontId="1" fillId="11" borderId="2" xfId="1" applyNumberFormat="1" applyFill="1" applyBorder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166" fontId="1" fillId="11" borderId="2" xfId="2" applyNumberFormat="1" applyFill="1" applyBorder="1" applyProtection="1">
      <protection hidden="1"/>
    </xf>
    <xf numFmtId="164" fontId="0" fillId="11" borderId="2" xfId="1" applyNumberFormat="1" applyFont="1" applyFill="1" applyBorder="1" applyProtection="1">
      <protection hidden="1"/>
    </xf>
    <xf numFmtId="164" fontId="0" fillId="0" borderId="0" xfId="1" applyNumberFormat="1" applyFont="1" applyProtection="1">
      <protection hidden="1"/>
    </xf>
    <xf numFmtId="9" fontId="0" fillId="0" borderId="0" xfId="3" applyFont="1" applyProtection="1">
      <protection hidden="1"/>
    </xf>
    <xf numFmtId="43" fontId="0" fillId="0" borderId="0" xfId="0" applyNumberForma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43" fontId="1" fillId="11" borderId="2" xfId="1" applyNumberFormat="1" applyFill="1" applyBorder="1" applyAlignment="1" applyProtection="1">
      <alignment vertical="center"/>
      <protection hidden="1"/>
    </xf>
    <xf numFmtId="164" fontId="1" fillId="11" borderId="2" xfId="1" applyNumberFormat="1" applyFill="1" applyBorder="1" applyAlignment="1" applyProtection="1">
      <alignment horizontal="center" vertical="center"/>
      <protection hidden="1"/>
    </xf>
    <xf numFmtId="164" fontId="0" fillId="11" borderId="2" xfId="1" applyNumberFormat="1" applyFont="1" applyFill="1" applyBorder="1" applyAlignment="1" applyProtection="1">
      <alignment vertical="center"/>
      <protection hidden="1"/>
    </xf>
    <xf numFmtId="164" fontId="1" fillId="11" borderId="2" xfId="1" applyNumberFormat="1" applyFill="1" applyBorder="1" applyAlignment="1" applyProtection="1">
      <alignment wrapText="1"/>
      <protection hidden="1"/>
    </xf>
    <xf numFmtId="164" fontId="0" fillId="11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wrapText="1"/>
      <protection hidden="1"/>
    </xf>
    <xf numFmtId="43" fontId="1" fillId="11" borderId="2" xfId="1" applyNumberFormat="1" applyFill="1" applyBorder="1" applyProtection="1">
      <protection hidden="1"/>
    </xf>
    <xf numFmtId="164" fontId="2" fillId="10" borderId="0" xfId="1" applyNumberFormat="1" applyFont="1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center"/>
      <protection hidden="1"/>
    </xf>
    <xf numFmtId="164" fontId="3" fillId="9" borderId="0" xfId="1" applyNumberFormat="1" applyFont="1" applyFill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7" borderId="0" xfId="0" applyFont="1" applyFill="1" applyProtection="1">
      <protection hidden="1"/>
    </xf>
    <xf numFmtId="164" fontId="0" fillId="6" borderId="0" xfId="1" applyNumberFormat="1" applyFont="1" applyFill="1" applyAlignment="1" applyProtection="1">
      <alignment horizontal="right"/>
      <protection hidden="1"/>
    </xf>
    <xf numFmtId="43" fontId="0" fillId="6" borderId="0" xfId="1" applyFont="1" applyFill="1" applyProtection="1">
      <protection hidden="1"/>
    </xf>
    <xf numFmtId="43" fontId="0" fillId="6" borderId="0" xfId="1" applyFont="1" applyFill="1" applyAlignment="1" applyProtection="1">
      <alignment horizontal="right"/>
      <protection hidden="1"/>
    </xf>
    <xf numFmtId="164" fontId="0" fillId="0" borderId="0" xfId="1" applyNumberFormat="1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9" fontId="10" fillId="0" borderId="0" xfId="3" applyFont="1" applyProtection="1">
      <protection hidden="1"/>
    </xf>
    <xf numFmtId="0" fontId="14" fillId="0" borderId="0" xfId="8" applyFont="1" applyProtection="1">
      <alignment vertical="center"/>
      <protection hidden="1"/>
    </xf>
    <xf numFmtId="0" fontId="14" fillId="0" borderId="0" xfId="8" applyNumberFormat="1" applyFont="1" applyFill="1" applyBorder="1" applyAlignment="1" applyProtection="1">
      <alignment wrapText="1"/>
      <protection hidden="1"/>
    </xf>
    <xf numFmtId="0" fontId="14" fillId="0" borderId="0" xfId="8" applyFont="1" applyProtection="1">
      <alignment vertical="center"/>
      <protection locked="0"/>
    </xf>
    <xf numFmtId="0" fontId="14" fillId="0" borderId="0" xfId="8" applyNumberFormat="1" applyFont="1" applyFill="1" applyBorder="1" applyAlignment="1" applyProtection="1">
      <alignment wrapText="1"/>
      <protection locked="0"/>
    </xf>
    <xf numFmtId="164" fontId="4" fillId="0" borderId="0" xfId="1" applyNumberFormat="1" applyFont="1" applyProtection="1">
      <protection hidden="1"/>
    </xf>
    <xf numFmtId="43" fontId="10" fillId="0" borderId="0" xfId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164" fontId="10" fillId="0" borderId="0" xfId="0" applyNumberFormat="1" applyFont="1"/>
    <xf numFmtId="167" fontId="12" fillId="0" borderId="0" xfId="3" applyNumberFormat="1" applyFont="1" applyProtection="1">
      <protection hidden="1"/>
    </xf>
    <xf numFmtId="44" fontId="10" fillId="11" borderId="2" xfId="2" applyFont="1" applyFill="1" applyBorder="1" applyProtection="1">
      <protection hidden="1"/>
    </xf>
    <xf numFmtId="166" fontId="10" fillId="11" borderId="2" xfId="1" applyNumberFormat="1" applyFont="1" applyFill="1" applyBorder="1" applyProtection="1">
      <protection hidden="1"/>
    </xf>
    <xf numFmtId="43" fontId="0" fillId="0" borderId="0" xfId="1" quotePrefix="1" applyFont="1"/>
    <xf numFmtId="9" fontId="12" fillId="0" borderId="0" xfId="0" applyNumberFormat="1" applyFont="1" applyProtection="1">
      <protection hidden="1"/>
    </xf>
    <xf numFmtId="10" fontId="12" fillId="0" borderId="0" xfId="0" applyNumberFormat="1" applyFont="1" applyProtection="1">
      <protection hidden="1"/>
    </xf>
    <xf numFmtId="10" fontId="12" fillId="0" borderId="0" xfId="3" applyNumberFormat="1" applyFont="1" applyProtection="1">
      <protection hidden="1"/>
    </xf>
    <xf numFmtId="168" fontId="12" fillId="0" borderId="0" xfId="3" applyNumberFormat="1" applyFont="1" applyProtection="1">
      <protection hidden="1"/>
    </xf>
    <xf numFmtId="9" fontId="4" fillId="0" borderId="0" xfId="0" applyNumberFormat="1" applyFont="1" applyProtection="1">
      <protection hidden="1"/>
    </xf>
    <xf numFmtId="166" fontId="12" fillId="0" borderId="0" xfId="0" applyNumberFormat="1" applyFont="1" applyProtection="1">
      <protection hidden="1"/>
    </xf>
    <xf numFmtId="44" fontId="12" fillId="0" borderId="0" xfId="2" applyFont="1" applyProtection="1">
      <protection hidden="1"/>
    </xf>
    <xf numFmtId="0" fontId="13" fillId="12" borderId="2" xfId="4" applyFont="1" applyFill="1" applyBorder="1" applyAlignment="1" applyProtection="1">
      <alignment horizontal="left" vertical="center" wrapText="1"/>
      <protection hidden="1"/>
    </xf>
    <xf numFmtId="164" fontId="13" fillId="12" borderId="2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2" xfId="4" applyFont="1" applyFill="1" applyBorder="1" applyAlignment="1" applyProtection="1">
      <alignment horizontal="center" vertical="center" wrapText="1"/>
      <protection hidden="1"/>
    </xf>
    <xf numFmtId="164" fontId="13" fillId="12" borderId="2" xfId="1" applyNumberFormat="1" applyFont="1" applyFill="1" applyBorder="1" applyAlignment="1" applyProtection="1">
      <alignment horizontal="left" vertical="center" wrapText="1"/>
      <protection hidden="1"/>
    </xf>
    <xf numFmtId="0" fontId="0" fillId="11" borderId="2" xfId="6" applyFont="1" applyFill="1" applyBorder="1" applyProtection="1">
      <protection locked="0" hidden="1"/>
    </xf>
    <xf numFmtId="0" fontId="0" fillId="14" borderId="0" xfId="0" applyFill="1" applyAlignment="1" applyProtection="1">
      <alignment wrapText="1"/>
      <protection hidden="1"/>
    </xf>
    <xf numFmtId="164" fontId="14" fillId="13" borderId="2" xfId="1" applyNumberFormat="1" applyFont="1" applyFill="1" applyBorder="1" applyAlignment="1">
      <alignment horizontal="center" vertical="center" wrapText="1"/>
    </xf>
    <xf numFmtId="164" fontId="14" fillId="13" borderId="2" xfId="1" applyNumberFormat="1" applyFont="1" applyFill="1" applyBorder="1" applyAlignment="1">
      <alignment vertical="center" wrapText="1"/>
    </xf>
    <xf numFmtId="164" fontId="16" fillId="13" borderId="2" xfId="1" applyNumberFormat="1" applyFont="1" applyFill="1" applyBorder="1" applyAlignment="1">
      <alignment horizontal="center" vertical="center" wrapText="1"/>
    </xf>
    <xf numFmtId="164" fontId="1" fillId="13" borderId="2" xfId="1" applyNumberFormat="1" applyFont="1" applyFill="1" applyBorder="1" applyAlignment="1">
      <alignment vertical="center" wrapText="1"/>
    </xf>
    <xf numFmtId="164" fontId="1" fillId="13" borderId="2" xfId="1" applyNumberFormat="1" applyFont="1" applyFill="1" applyBorder="1" applyAlignment="1">
      <alignment horizontal="center" vertical="center" wrapText="1"/>
    </xf>
    <xf numFmtId="164" fontId="17" fillId="13" borderId="2" xfId="1" applyNumberFormat="1" applyFont="1" applyFill="1" applyBorder="1" applyAlignment="1">
      <alignment vertical="center" wrapText="1"/>
    </xf>
    <xf numFmtId="164" fontId="1" fillId="13" borderId="2" xfId="1" quotePrefix="1" applyNumberFormat="1" applyFont="1" applyFill="1" applyBorder="1" applyAlignment="1">
      <alignment horizontal="center" vertical="center" wrapText="1"/>
    </xf>
    <xf numFmtId="0" fontId="14" fillId="12" borderId="0" xfId="8" applyFont="1" applyFill="1" applyProtection="1">
      <alignment vertical="center"/>
      <protection hidden="1"/>
    </xf>
    <xf numFmtId="0" fontId="2" fillId="12" borderId="2" xfId="0" applyFont="1" applyFill="1" applyBorder="1" applyAlignment="1">
      <alignment horizontal="center" vertical="center" wrapText="1"/>
    </xf>
    <xf numFmtId="164" fontId="2" fillId="12" borderId="2" xfId="1" applyNumberFormat="1" applyFont="1" applyFill="1" applyBorder="1" applyAlignment="1" applyProtection="1">
      <alignment vertical="center"/>
      <protection hidden="1"/>
    </xf>
    <xf numFmtId="164" fontId="2" fillId="12" borderId="2" xfId="8" applyNumberFormat="1" applyFont="1" applyFill="1" applyBorder="1" applyProtection="1">
      <alignment vertical="center"/>
      <protection hidden="1"/>
    </xf>
    <xf numFmtId="9" fontId="2" fillId="12" borderId="2" xfId="3" applyFont="1" applyFill="1" applyBorder="1" applyAlignment="1" applyProtection="1">
      <alignment horizontal="center" vertical="center" wrapText="1"/>
      <protection hidden="1"/>
    </xf>
    <xf numFmtId="43" fontId="0" fillId="6" borderId="2" xfId="1" applyFont="1" applyFill="1" applyBorder="1" applyProtection="1">
      <protection locked="0"/>
    </xf>
    <xf numFmtId="164" fontId="1" fillId="6" borderId="2" xfId="1" applyNumberFormat="1" applyFill="1" applyBorder="1" applyProtection="1">
      <protection locked="0"/>
    </xf>
    <xf numFmtId="164" fontId="1" fillId="6" borderId="2" xfId="1" applyNumberFormat="1" applyFill="1" applyBorder="1" applyProtection="1">
      <protection hidden="1"/>
    </xf>
    <xf numFmtId="43" fontId="1" fillId="6" borderId="2" xfId="1" applyFill="1" applyBorder="1" applyProtection="1">
      <protection locked="0"/>
    </xf>
    <xf numFmtId="0" fontId="0" fillId="12" borderId="0" xfId="0" applyFill="1" applyProtection="1">
      <protection hidden="1"/>
    </xf>
    <xf numFmtId="164" fontId="4" fillId="12" borderId="2" xfId="1" applyNumberFormat="1" applyFont="1" applyFill="1" applyBorder="1" applyProtection="1">
      <protection hidden="1"/>
    </xf>
    <xf numFmtId="164" fontId="4" fillId="12" borderId="2" xfId="0" applyNumberFormat="1" applyFont="1" applyFill="1" applyBorder="1" applyProtection="1">
      <protection hidden="1"/>
    </xf>
    <xf numFmtId="0" fontId="4" fillId="12" borderId="2" xfId="0" applyFont="1" applyFill="1" applyBorder="1" applyProtection="1">
      <protection hidden="1"/>
    </xf>
    <xf numFmtId="9" fontId="4" fillId="12" borderId="2" xfId="3" applyFont="1" applyFill="1" applyBorder="1" applyProtection="1">
      <protection hidden="1"/>
    </xf>
    <xf numFmtId="0" fontId="0" fillId="15" borderId="0" xfId="0" applyFill="1"/>
    <xf numFmtId="164" fontId="0" fillId="15" borderId="0" xfId="1" applyNumberFormat="1" applyFont="1" applyFill="1"/>
    <xf numFmtId="166" fontId="13" fillId="12" borderId="2" xfId="1" applyNumberFormat="1" applyFont="1" applyFill="1" applyBorder="1" applyAlignment="1" applyProtection="1">
      <alignment horizontal="left" vertical="center" wrapText="1"/>
      <protection hidden="1"/>
    </xf>
    <xf numFmtId="44" fontId="13" fillId="12" borderId="2" xfId="2" applyFont="1" applyFill="1" applyBorder="1" applyAlignment="1" applyProtection="1">
      <alignment horizontal="left" vertical="center" wrapText="1"/>
      <protection hidden="1"/>
    </xf>
    <xf numFmtId="9" fontId="13" fillId="12" borderId="2" xfId="3" applyFont="1" applyFill="1" applyBorder="1" applyAlignment="1" applyProtection="1">
      <alignment horizontal="right" vertical="center" wrapText="1"/>
      <protection hidden="1"/>
    </xf>
    <xf numFmtId="9" fontId="13" fillId="12" borderId="2" xfId="3" applyFont="1" applyFill="1" applyBorder="1" applyAlignment="1" applyProtection="1">
      <alignment horizontal="right" vertical="center" wrapText="1"/>
      <protection locked="0" hidden="1"/>
    </xf>
    <xf numFmtId="9" fontId="13" fillId="12" borderId="2" xfId="3" applyFont="1" applyFill="1" applyBorder="1" applyAlignment="1" applyProtection="1">
      <alignment horizontal="center" vertical="center" wrapText="1"/>
      <protection locked="0" hidden="1"/>
    </xf>
    <xf numFmtId="0" fontId="13" fillId="12" borderId="6" xfId="4" applyFont="1" applyFill="1" applyBorder="1" applyAlignment="1" applyProtection="1">
      <alignment horizontal="center" vertical="center" wrapText="1"/>
      <protection hidden="1"/>
    </xf>
    <xf numFmtId="0" fontId="2" fillId="12" borderId="2" xfId="4" applyFont="1" applyFill="1" applyBorder="1" applyAlignment="1" applyProtection="1">
      <alignment horizontal="center" vertical="center" wrapText="1"/>
      <protection hidden="1"/>
    </xf>
    <xf numFmtId="166" fontId="2" fillId="1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12" borderId="2" xfId="4" applyFont="1" applyFill="1" applyBorder="1" applyAlignment="1" applyProtection="1">
      <alignment horizontal="left" vertical="center" wrapText="1"/>
      <protection hidden="1"/>
    </xf>
    <xf numFmtId="164" fontId="2" fillId="12" borderId="2" xfId="0" applyNumberFormat="1" applyFont="1" applyFill="1" applyBorder="1" applyProtection="1">
      <protection hidden="1"/>
    </xf>
    <xf numFmtId="166" fontId="2" fillId="12" borderId="2" xfId="4" applyNumberFormat="1" applyFont="1" applyFill="1" applyBorder="1" applyAlignment="1" applyProtection="1">
      <alignment horizontal="left" vertical="center" wrapText="1"/>
      <protection hidden="1"/>
    </xf>
    <xf numFmtId="164" fontId="2" fillId="12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/>
    <xf numFmtId="9" fontId="13" fillId="12" borderId="2" xfId="3" applyFont="1" applyFill="1" applyBorder="1" applyAlignment="1" applyProtection="1">
      <alignment horizontal="center" vertical="center" wrapText="1"/>
      <protection hidden="1"/>
    </xf>
    <xf numFmtId="0" fontId="2" fillId="12" borderId="2" xfId="4" applyFont="1" applyFill="1" applyBorder="1" applyAlignment="1" applyProtection="1">
      <alignment horizontal="center" vertical="center" wrapText="1"/>
      <protection hidden="1"/>
    </xf>
    <xf numFmtId="0" fontId="0" fillId="12" borderId="2" xfId="0" applyFill="1" applyBorder="1" applyProtection="1">
      <protection hidden="1"/>
    </xf>
    <xf numFmtId="0" fontId="7" fillId="12" borderId="9" xfId="4" applyFont="1" applyFill="1" applyBorder="1" applyAlignment="1" applyProtection="1">
      <alignment horizontal="left" vertical="center" wrapText="1"/>
      <protection hidden="1"/>
    </xf>
    <xf numFmtId="43" fontId="2" fillId="12" borderId="2" xfId="1" applyFont="1" applyFill="1" applyBorder="1" applyAlignment="1" applyProtection="1">
      <alignment horizontal="left" vertical="center" wrapText="1"/>
      <protection hidden="1"/>
    </xf>
    <xf numFmtId="166" fontId="2" fillId="12" borderId="2" xfId="1" applyNumberFormat="1" applyFont="1" applyFill="1" applyBorder="1" applyAlignment="1" applyProtection="1">
      <alignment horizontal="left" vertical="center" wrapText="1"/>
      <protection hidden="1"/>
    </xf>
    <xf numFmtId="9" fontId="2" fillId="12" borderId="2" xfId="3" applyFont="1" applyFill="1" applyBorder="1" applyAlignment="1">
      <alignment horizontal="center" vertical="center" wrapText="1"/>
    </xf>
    <xf numFmtId="0" fontId="2" fillId="12" borderId="2" xfId="4" applyFont="1" applyFill="1" applyBorder="1" applyAlignment="1">
      <alignment horizontal="center" vertical="center" wrapText="1"/>
    </xf>
    <xf numFmtId="0" fontId="2" fillId="12" borderId="2" xfId="4" applyFont="1" applyFill="1" applyBorder="1" applyAlignment="1" applyProtection="1">
      <alignment horizontal="center" vertical="center" wrapText="1"/>
      <protection locked="0" hidden="1"/>
    </xf>
    <xf numFmtId="166" fontId="2" fillId="12" borderId="2" xfId="2" applyNumberFormat="1" applyFont="1" applyFill="1" applyBorder="1" applyProtection="1">
      <protection hidden="1"/>
    </xf>
    <xf numFmtId="0" fontId="2" fillId="12" borderId="4" xfId="4" applyFont="1" applyFill="1" applyBorder="1" applyAlignment="1" applyProtection="1">
      <alignment horizontal="center" vertical="center" wrapText="1"/>
      <protection hidden="1"/>
    </xf>
    <xf numFmtId="0" fontId="2" fillId="12" borderId="3" xfId="4" applyFont="1" applyFill="1" applyBorder="1" applyAlignment="1" applyProtection="1">
      <alignment horizontal="center" vertical="center" wrapText="1"/>
      <protection hidden="1"/>
    </xf>
    <xf numFmtId="0" fontId="15" fillId="12" borderId="0" xfId="4" applyFont="1" applyFill="1" applyAlignment="1">
      <alignment horizontal="center" vertical="center" wrapText="1"/>
    </xf>
    <xf numFmtId="0" fontId="13" fillId="12" borderId="0" xfId="4" applyFont="1" applyFill="1" applyAlignment="1">
      <alignment horizontal="right"/>
    </xf>
    <xf numFmtId="164" fontId="13" fillId="12" borderId="4" xfId="1" applyNumberFormat="1" applyFont="1" applyFill="1" applyBorder="1" applyAlignment="1" applyProtection="1">
      <alignment horizontal="center" vertical="center" wrapText="1"/>
      <protection hidden="1"/>
    </xf>
    <xf numFmtId="164" fontId="13" fillId="12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4" xfId="4" applyFont="1" applyFill="1" applyBorder="1" applyAlignment="1" applyProtection="1">
      <alignment horizontal="left" vertical="center" wrapText="1"/>
      <protection hidden="1"/>
    </xf>
    <xf numFmtId="0" fontId="13" fillId="12" borderId="3" xfId="4" applyFont="1" applyFill="1" applyBorder="1" applyAlignment="1" applyProtection="1">
      <alignment horizontal="left" vertical="center" wrapText="1"/>
      <protection hidden="1"/>
    </xf>
    <xf numFmtId="0" fontId="13" fillId="12" borderId="5" xfId="4" applyFont="1" applyFill="1" applyBorder="1" applyAlignment="1" applyProtection="1">
      <alignment horizontal="center" vertical="center" wrapText="1"/>
      <protection hidden="1"/>
    </xf>
    <xf numFmtId="0" fontId="13" fillId="12" borderId="13" xfId="4" applyFont="1" applyFill="1" applyBorder="1" applyAlignment="1" applyProtection="1">
      <alignment horizontal="center" vertical="center" wrapText="1"/>
      <protection hidden="1"/>
    </xf>
    <xf numFmtId="0" fontId="13" fillId="12" borderId="5" xfId="4" applyFont="1" applyFill="1" applyBorder="1" applyAlignment="1" applyProtection="1">
      <alignment horizontal="left" vertical="center" wrapText="1"/>
      <protection hidden="1"/>
    </xf>
    <xf numFmtId="0" fontId="13" fillId="12" borderId="13" xfId="4" applyFont="1" applyFill="1" applyBorder="1" applyAlignment="1" applyProtection="1">
      <alignment horizontal="left" vertical="center" wrapText="1"/>
      <protection hidden="1"/>
    </xf>
    <xf numFmtId="0" fontId="13" fillId="12" borderId="6" xfId="4" applyFont="1" applyFill="1" applyBorder="1" applyAlignment="1" applyProtection="1">
      <alignment horizontal="left" vertical="center" wrapText="1"/>
      <protection hidden="1"/>
    </xf>
    <xf numFmtId="9" fontId="13" fillId="12" borderId="5" xfId="3" applyFont="1" applyFill="1" applyBorder="1" applyAlignment="1" applyProtection="1">
      <alignment horizontal="left" vertical="center" wrapText="1"/>
      <protection hidden="1"/>
    </xf>
    <xf numFmtId="9" fontId="13" fillId="12" borderId="6" xfId="3" applyFont="1" applyFill="1" applyBorder="1" applyAlignment="1" applyProtection="1">
      <alignment horizontal="left" vertical="center" wrapText="1"/>
      <protection hidden="1"/>
    </xf>
    <xf numFmtId="0" fontId="13" fillId="12" borderId="0" xfId="4" applyFont="1" applyFill="1" applyBorder="1" applyAlignment="1" applyProtection="1">
      <alignment horizontal="left" vertical="center" wrapText="1"/>
      <protection hidden="1"/>
    </xf>
    <xf numFmtId="0" fontId="13" fillId="12" borderId="9" xfId="4" applyFont="1" applyFill="1" applyBorder="1" applyAlignment="1" applyProtection="1">
      <alignment horizontal="left" vertical="center" wrapText="1"/>
      <protection hidden="1"/>
    </xf>
    <xf numFmtId="0" fontId="13" fillId="12" borderId="6" xfId="4" applyFont="1" applyFill="1" applyBorder="1" applyAlignment="1" applyProtection="1">
      <alignment horizontal="center" vertical="center" wrapText="1"/>
      <protection hidden="1"/>
    </xf>
    <xf numFmtId="0" fontId="13" fillId="12" borderId="2" xfId="4" applyFont="1" applyFill="1" applyBorder="1" applyAlignment="1" applyProtection="1">
      <alignment horizontal="center" vertical="center" wrapText="1"/>
      <protection hidden="1"/>
    </xf>
    <xf numFmtId="43" fontId="10" fillId="11" borderId="0" xfId="1" applyFont="1" applyFill="1" applyBorder="1" applyAlignment="1" applyProtection="1">
      <alignment horizontal="right"/>
      <protection hidden="1"/>
    </xf>
    <xf numFmtId="43" fontId="10" fillId="11" borderId="12" xfId="1" applyFont="1" applyFill="1" applyBorder="1" applyAlignment="1" applyProtection="1">
      <alignment horizontal="right"/>
      <protection hidden="1"/>
    </xf>
    <xf numFmtId="0" fontId="7" fillId="12" borderId="9" xfId="4" applyFont="1" applyFill="1" applyBorder="1" applyAlignment="1" applyProtection="1">
      <alignment horizontal="center"/>
      <protection hidden="1"/>
    </xf>
    <xf numFmtId="43" fontId="2" fillId="12" borderId="4" xfId="1" applyFont="1" applyFill="1" applyBorder="1" applyAlignment="1" applyProtection="1">
      <alignment horizontal="left" vertical="center" wrapText="1"/>
      <protection hidden="1"/>
    </xf>
    <xf numFmtId="43" fontId="2" fillId="12" borderId="3" xfId="1" applyFont="1" applyFill="1" applyBorder="1" applyAlignment="1" applyProtection="1">
      <alignment horizontal="left" vertical="center" wrapText="1"/>
      <protection hidden="1"/>
    </xf>
    <xf numFmtId="0" fontId="2" fillId="12" borderId="2" xfId="4" applyFont="1" applyFill="1" applyBorder="1" applyAlignment="1" applyProtection="1">
      <alignment horizontal="center" vertical="center" wrapText="1"/>
      <protection hidden="1"/>
    </xf>
    <xf numFmtId="0" fontId="7" fillId="8" borderId="9" xfId="4" applyFont="1" applyFill="1" applyBorder="1" applyAlignment="1">
      <alignment horizontal="center"/>
    </xf>
    <xf numFmtId="43" fontId="2" fillId="8" borderId="4" xfId="1" applyFont="1" applyFill="1" applyBorder="1" applyAlignment="1">
      <alignment horizontal="left" vertical="center" wrapText="1"/>
    </xf>
    <xf numFmtId="43" fontId="2" fillId="8" borderId="3" xfId="1" applyFont="1" applyFill="1" applyBorder="1" applyAlignment="1">
      <alignment horizontal="left" vertical="center" wrapText="1"/>
    </xf>
    <xf numFmtId="0" fontId="2" fillId="8" borderId="2" xfId="4" applyFont="1" applyFill="1" applyBorder="1" applyAlignment="1">
      <alignment horizontal="center" vertical="center" wrapText="1"/>
    </xf>
    <xf numFmtId="0" fontId="2" fillId="8" borderId="4" xfId="4" applyFont="1" applyFill="1" applyBorder="1" applyAlignment="1">
      <alignment horizontal="center" vertical="center" wrapText="1"/>
    </xf>
    <xf numFmtId="0" fontId="2" fillId="8" borderId="3" xfId="4" applyFont="1" applyFill="1" applyBorder="1" applyAlignment="1">
      <alignment horizontal="center" vertical="center" wrapText="1"/>
    </xf>
    <xf numFmtId="0" fontId="2" fillId="8" borderId="5" xfId="4" applyFont="1" applyFill="1" applyBorder="1" applyAlignment="1">
      <alignment horizontal="center" vertical="center" wrapText="1"/>
    </xf>
    <xf numFmtId="0" fontId="2" fillId="8" borderId="6" xfId="4" applyFont="1" applyFill="1" applyBorder="1" applyAlignment="1">
      <alignment horizontal="center" vertical="center" wrapText="1"/>
    </xf>
    <xf numFmtId="43" fontId="2" fillId="12" borderId="4" xfId="1" applyFont="1" applyFill="1" applyBorder="1" applyAlignment="1" applyProtection="1">
      <alignment horizontal="left" vertical="center" wrapText="1"/>
      <protection locked="0" hidden="1"/>
    </xf>
    <xf numFmtId="43" fontId="2" fillId="12" borderId="3" xfId="1" applyFont="1" applyFill="1" applyBorder="1" applyAlignment="1" applyProtection="1">
      <alignment horizontal="left" vertical="center" wrapText="1"/>
      <protection locked="0" hidden="1"/>
    </xf>
    <xf numFmtId="0" fontId="2" fillId="12" borderId="2" xfId="4" applyFont="1" applyFill="1" applyBorder="1" applyAlignment="1" applyProtection="1">
      <alignment horizontal="center" vertical="center" wrapText="1"/>
      <protection locked="0" hidden="1"/>
    </xf>
    <xf numFmtId="0" fontId="2" fillId="12" borderId="4" xfId="4" applyFont="1" applyFill="1" applyBorder="1" applyAlignment="1" applyProtection="1">
      <alignment horizontal="center" vertical="center" wrapText="1"/>
      <protection locked="0" hidden="1"/>
    </xf>
    <xf numFmtId="0" fontId="2" fillId="12" borderId="3" xfId="4" applyFont="1" applyFill="1" applyBorder="1" applyAlignment="1" applyProtection="1">
      <alignment horizontal="center" vertical="center" wrapText="1"/>
      <protection locked="0" hidden="1"/>
    </xf>
    <xf numFmtId="0" fontId="2" fillId="12" borderId="5" xfId="4" applyFont="1" applyFill="1" applyBorder="1" applyAlignment="1" applyProtection="1">
      <alignment horizontal="center" vertical="center" wrapText="1"/>
      <protection hidden="1"/>
    </xf>
    <xf numFmtId="0" fontId="2" fillId="12" borderId="6" xfId="4" applyFont="1" applyFill="1" applyBorder="1" applyAlignment="1" applyProtection="1">
      <alignment horizontal="center" vertical="center" wrapText="1"/>
      <protection hidden="1"/>
    </xf>
    <xf numFmtId="0" fontId="7" fillId="8" borderId="9" xfId="4" applyFont="1" applyFill="1" applyBorder="1" applyAlignment="1" applyProtection="1">
      <alignment horizontal="center"/>
      <protection hidden="1"/>
    </xf>
    <xf numFmtId="0" fontId="2" fillId="12" borderId="2" xfId="4" applyFont="1" applyFill="1" applyBorder="1" applyAlignment="1" applyProtection="1">
      <alignment horizontal="center" vertical="center"/>
      <protection hidden="1"/>
    </xf>
    <xf numFmtId="0" fontId="2" fillId="12" borderId="10" xfId="4" applyFont="1" applyFill="1" applyBorder="1" applyAlignment="1" applyProtection="1">
      <alignment horizontal="center"/>
      <protection hidden="1"/>
    </xf>
    <xf numFmtId="0" fontId="2" fillId="12" borderId="11" xfId="4" applyFont="1" applyFill="1" applyBorder="1" applyAlignment="1" applyProtection="1">
      <alignment horizontal="center"/>
      <protection hidden="1"/>
    </xf>
    <xf numFmtId="0" fontId="2" fillId="12" borderId="9" xfId="4" applyFont="1" applyFill="1" applyBorder="1" applyAlignment="1" applyProtection="1">
      <alignment horizontal="center"/>
      <protection hidden="1"/>
    </xf>
    <xf numFmtId="0" fontId="2" fillId="8" borderId="2" xfId="4" applyFont="1" applyFill="1" applyBorder="1" applyAlignment="1">
      <alignment horizontal="center"/>
    </xf>
    <xf numFmtId="0" fontId="2" fillId="8" borderId="2" xfId="4" applyFont="1" applyFill="1" applyBorder="1" applyAlignment="1">
      <alignment horizontal="center" vertical="center"/>
    </xf>
    <xf numFmtId="0" fontId="2" fillId="8" borderId="9" xfId="4" applyFont="1" applyFill="1" applyBorder="1" applyAlignment="1">
      <alignment horizontal="center"/>
    </xf>
    <xf numFmtId="0" fontId="2" fillId="8" borderId="8" xfId="4" applyFont="1" applyFill="1" applyBorder="1" applyAlignment="1">
      <alignment horizontal="center"/>
    </xf>
    <xf numFmtId="0" fontId="2" fillId="12" borderId="13" xfId="4" applyFont="1" applyFill="1" applyBorder="1" applyAlignment="1" applyProtection="1">
      <alignment horizontal="center" vertical="center" wrapText="1"/>
      <protection hidden="1"/>
    </xf>
    <xf numFmtId="43" fontId="2" fillId="12" borderId="5" xfId="1" applyFont="1" applyFill="1" applyBorder="1" applyAlignment="1" applyProtection="1">
      <alignment horizontal="left" vertical="center" wrapText="1"/>
      <protection hidden="1"/>
    </xf>
    <xf numFmtId="43" fontId="2" fillId="12" borderId="13" xfId="1" applyFont="1" applyFill="1" applyBorder="1" applyAlignment="1" applyProtection="1">
      <alignment horizontal="left" vertical="center" wrapText="1"/>
      <protection hidden="1"/>
    </xf>
    <xf numFmtId="43" fontId="2" fillId="12" borderId="14" xfId="1" applyFont="1" applyFill="1" applyBorder="1" applyAlignment="1" applyProtection="1">
      <alignment horizontal="left" vertical="center" wrapText="1"/>
      <protection hidden="1"/>
    </xf>
    <xf numFmtId="0" fontId="2" fillId="12" borderId="4" xfId="4" applyFont="1" applyFill="1" applyBorder="1" applyAlignment="1" applyProtection="1">
      <alignment horizontal="left" vertical="center" wrapText="1"/>
      <protection hidden="1"/>
    </xf>
    <xf numFmtId="0" fontId="2" fillId="12" borderId="7" xfId="4" applyFont="1" applyFill="1" applyBorder="1" applyAlignment="1" applyProtection="1">
      <alignment horizontal="left" vertical="center" wrapText="1"/>
      <protection hidden="1"/>
    </xf>
    <xf numFmtId="0" fontId="2" fillId="12" borderId="3" xfId="4" applyFont="1" applyFill="1" applyBorder="1" applyAlignment="1" applyProtection="1">
      <alignment horizontal="left" vertical="center" wrapText="1"/>
      <protection hidden="1"/>
    </xf>
    <xf numFmtId="0" fontId="2" fillId="12" borderId="4" xfId="4" applyFont="1" applyFill="1" applyBorder="1" applyAlignment="1" applyProtection="1">
      <alignment horizontal="center" vertical="center" wrapText="1"/>
      <protection hidden="1"/>
    </xf>
    <xf numFmtId="0" fontId="2" fillId="12" borderId="3" xfId="4" applyFont="1" applyFill="1" applyBorder="1" applyAlignment="1" applyProtection="1">
      <alignment horizontal="center" vertical="center" wrapText="1"/>
      <protection hidden="1"/>
    </xf>
    <xf numFmtId="0" fontId="2" fillId="12" borderId="5" xfId="4" applyFont="1" applyFill="1" applyBorder="1" applyAlignment="1" applyProtection="1">
      <alignment horizontal="left" vertical="center" wrapText="1"/>
      <protection hidden="1"/>
    </xf>
    <xf numFmtId="0" fontId="2" fillId="12" borderId="13" xfId="4" applyFont="1" applyFill="1" applyBorder="1" applyAlignment="1" applyProtection="1">
      <alignment horizontal="left" vertical="center" wrapText="1"/>
      <protection hidden="1"/>
    </xf>
    <xf numFmtId="0" fontId="2" fillId="12" borderId="14" xfId="4" applyFont="1" applyFill="1" applyBorder="1" applyAlignment="1" applyProtection="1">
      <alignment horizontal="left" vertical="center" wrapText="1"/>
      <protection hidden="1"/>
    </xf>
    <xf numFmtId="164" fontId="0" fillId="0" borderId="0" xfId="1" applyNumberFormat="1" applyFont="1" applyAlignment="1" applyProtection="1">
      <alignment horizontal="center" vertical="center"/>
      <protection hidden="1"/>
    </xf>
    <xf numFmtId="43" fontId="2" fillId="12" borderId="2" xfId="1" applyFont="1" applyFill="1" applyBorder="1" applyAlignment="1" applyProtection="1">
      <alignment horizontal="right"/>
      <protection hidden="1"/>
    </xf>
    <xf numFmtId="43" fontId="2" fillId="8" borderId="4" xfId="1" applyFont="1" applyFill="1" applyBorder="1" applyAlignment="1" applyProtection="1">
      <alignment horizontal="left" vertical="center" wrapText="1"/>
      <protection hidden="1"/>
    </xf>
    <xf numFmtId="43" fontId="2" fillId="8" borderId="3" xfId="1" applyFont="1" applyFill="1" applyBorder="1" applyAlignment="1" applyProtection="1">
      <alignment horizontal="left" vertical="center" wrapText="1"/>
      <protection hidden="1"/>
    </xf>
    <xf numFmtId="9" fontId="2" fillId="12" borderId="2" xfId="3" applyFont="1" applyFill="1" applyBorder="1" applyAlignment="1" applyProtection="1">
      <alignment horizontal="center" vertical="center" wrapText="1"/>
      <protection hidden="1"/>
    </xf>
    <xf numFmtId="0" fontId="2" fillId="12" borderId="0" xfId="4" applyFont="1" applyFill="1" applyBorder="1" applyAlignment="1">
      <alignment horizontal="center" vertical="center" wrapText="1"/>
    </xf>
    <xf numFmtId="0" fontId="2" fillId="12" borderId="5" xfId="4" applyFont="1" applyFill="1" applyBorder="1" applyAlignment="1">
      <alignment horizontal="center" vertical="center" wrapText="1"/>
    </xf>
    <xf numFmtId="0" fontId="2" fillId="12" borderId="6" xfId="4" applyFont="1" applyFill="1" applyBorder="1" applyAlignment="1">
      <alignment horizontal="center" vertical="center" wrapText="1"/>
    </xf>
    <xf numFmtId="0" fontId="2" fillId="12" borderId="4" xfId="4" applyFont="1" applyFill="1" applyBorder="1" applyAlignment="1">
      <alignment horizontal="center" vertical="center" wrapText="1"/>
    </xf>
    <xf numFmtId="0" fontId="2" fillId="12" borderId="3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textRotation="90"/>
    </xf>
    <xf numFmtId="0" fontId="2" fillId="12" borderId="9" xfId="8" applyFont="1" applyFill="1" applyBorder="1" applyAlignment="1" applyProtection="1">
      <alignment horizontal="center" vertical="center"/>
      <protection hidden="1"/>
    </xf>
    <xf numFmtId="0" fontId="2" fillId="12" borderId="2" xfId="0" applyFont="1" applyFill="1" applyBorder="1" applyAlignment="1">
      <alignment horizontal="center" vertical="center" wrapText="1"/>
    </xf>
    <xf numFmtId="43" fontId="2" fillId="12" borderId="2" xfId="1" applyFont="1" applyFill="1" applyBorder="1" applyAlignment="1" applyProtection="1">
      <alignment horizontal="right" vertical="center"/>
      <protection hidden="1"/>
    </xf>
  </cellXfs>
  <cellStyles count="9">
    <cellStyle name="20% - Accent1" xfId="5" builtinId="30"/>
    <cellStyle name="40% - Accent1" xfId="6" builtinId="31"/>
    <cellStyle name="60% - Accent1" xfId="7" builtinId="32"/>
    <cellStyle name="Accent1" xfId="4" builtinId="29"/>
    <cellStyle name="Comma" xfId="1" builtinId="3"/>
    <cellStyle name="Currency" xfId="2" builtinId="4"/>
    <cellStyle name="Normal" xfId="0" builtinId="0"/>
    <cellStyle name="Normal 2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BHU_Cost!$O$54</c:f>
              <c:strCache>
                <c:ptCount val="1"/>
                <c:pt idx="0">
                  <c:v>Cost per capita: Standard Estimates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BHU_Cost!$J$54:$N$54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BHU_Cost!$O$55</c:f>
              <c:strCache>
                <c:ptCount val="1"/>
                <c:pt idx="0">
                  <c:v>Cost per capita: Scenario Projection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BHU_Cost!$J$55:$N$55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09291336"/>
        <c:axId val="509285848"/>
      </c:barChart>
      <c:lineChart>
        <c:grouping val="standard"/>
        <c:varyColors val="0"/>
        <c:ser>
          <c:idx val="2"/>
          <c:order val="2"/>
          <c:tx>
            <c:strRef>
              <c:f>BHU_Cost!$O$56</c:f>
              <c:strCache>
                <c:ptCount val="1"/>
                <c:pt idx="0">
                  <c:v>Utilisation: Standard Estimates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BHU_Cost!$J$56:$N$56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BHU_Cost!$O$57</c:f>
              <c:strCache>
                <c:ptCount val="1"/>
                <c:pt idx="0">
                  <c:v>Utilisation: Scenario Projections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BHU_Cost!$J$57:$N$57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9292512"/>
        <c:axId val="509292120"/>
      </c:lineChart>
      <c:catAx>
        <c:axId val="509291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Catchment 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509285848"/>
        <c:crosses val="autoZero"/>
        <c:auto val="1"/>
        <c:lblAlgn val="ctr"/>
        <c:lblOffset val="100"/>
        <c:noMultiLvlLbl val="0"/>
      </c:catAx>
      <c:valAx>
        <c:axId val="5092858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Cost per Capita (USD)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509291336"/>
        <c:crosses val="autoZero"/>
        <c:crossBetween val="between"/>
      </c:valAx>
      <c:valAx>
        <c:axId val="5092921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Utilisation Capacity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509292512"/>
        <c:crosses val="max"/>
        <c:crossBetween val="between"/>
      </c:valAx>
      <c:catAx>
        <c:axId val="509292512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0929212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800" b="1" i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Total Cost (PKR)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Sheet2!$D$3:$H$3</c:f>
              <c:strCache>
                <c:ptCount val="5"/>
                <c:pt idx="0">
                  <c:v>40,000</c:v>
                </c:pt>
                <c:pt idx="1">
                  <c:v>75,000</c:v>
                </c:pt>
                <c:pt idx="2">
                  <c:v>125,000</c:v>
                </c:pt>
                <c:pt idx="3">
                  <c:v>175,000</c:v>
                </c:pt>
                <c:pt idx="4">
                  <c:v>200,000</c:v>
                </c:pt>
              </c:strCache>
            </c:strRef>
          </c:cat>
          <c:val>
            <c:numRef>
              <c:f>Sheet2!$D$4:$H$4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9287024"/>
        <c:axId val="509261544"/>
      </c:lineChart>
      <c:catAx>
        <c:axId val="50928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/>
                  <a:t>Catchment Population</a:t>
                </a:r>
              </a:p>
            </c:rich>
          </c:tx>
          <c:layout>
            <c:manualLayout>
              <c:xMode val="edge"/>
              <c:yMode val="edge"/>
              <c:x val="0.43448495676922944"/>
              <c:y val="0.8746985872049012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509261544"/>
        <c:crosses val="autoZero"/>
        <c:auto val="1"/>
        <c:lblAlgn val="ctr"/>
        <c:lblOffset val="100"/>
        <c:noMultiLvlLbl val="0"/>
      </c:catAx>
      <c:valAx>
        <c:axId val="50926154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50928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90683697871099"/>
          <c:y val="0.18120243813963768"/>
          <c:w val="0.24093158660844249"/>
          <c:h val="9.9481020371128714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BHU_Cost!$O$54</c:f>
              <c:strCache>
                <c:ptCount val="1"/>
                <c:pt idx="0">
                  <c:v>Cost per capita: Standard Estimates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BHU_Cost!$J$54:$N$54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BHU_Cost!$O$55</c:f>
              <c:strCache>
                <c:ptCount val="1"/>
                <c:pt idx="0">
                  <c:v>Cost per capita: Scenario Projection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BHU_Cost!$J$55:$N$55</c:f>
              <c:numCache>
                <c:formatCode>_("$"* #,##0.00_);_("$"* \(#,##0.00\);_("$"*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09266640"/>
        <c:axId val="509267816"/>
      </c:barChart>
      <c:lineChart>
        <c:grouping val="standard"/>
        <c:varyColors val="0"/>
        <c:ser>
          <c:idx val="2"/>
          <c:order val="2"/>
          <c:tx>
            <c:strRef>
              <c:f>BHU_Cost!$O$56</c:f>
              <c:strCache>
                <c:ptCount val="1"/>
                <c:pt idx="0">
                  <c:v>Utilisation: Standard Estimates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BHU_Cost!$J$56:$N$56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BHU_Cost!$O$57</c:f>
              <c:strCache>
                <c:ptCount val="1"/>
                <c:pt idx="0">
                  <c:v>Utilisation: Scenario Projections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BHU_Cost!$C$38:$F$38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BHU_Cost!$J$57:$N$57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9272912"/>
        <c:axId val="509268600"/>
      </c:lineChart>
      <c:catAx>
        <c:axId val="50926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Catchment Population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509267816"/>
        <c:crosses val="autoZero"/>
        <c:auto val="1"/>
        <c:lblAlgn val="ctr"/>
        <c:lblOffset val="100"/>
        <c:noMultiLvlLbl val="0"/>
      </c:catAx>
      <c:valAx>
        <c:axId val="509267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1"/>
                </a:pPr>
                <a:r>
                  <a:rPr lang="en-US" sz="1800" b="1"/>
                  <a:t>Cost per Capita (USD)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509266640"/>
        <c:crosses val="autoZero"/>
        <c:crossBetween val="between"/>
      </c:valAx>
      <c:valAx>
        <c:axId val="5092686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Utilisation Capacity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509272912"/>
        <c:crosses val="max"/>
        <c:crossBetween val="between"/>
      </c:valAx>
      <c:catAx>
        <c:axId val="509272912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0926860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1800" b="1" i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323849</xdr:colOff>
      <xdr:row>39</xdr:row>
      <xdr:rowOff>104775</xdr:rowOff>
    </xdr:from>
    <xdr:to>
      <xdr:col>22</xdr:col>
      <xdr:colOff>428624</xdr:colOff>
      <xdr:row>59</xdr:row>
      <xdr:rowOff>200024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18</xdr:row>
      <xdr:rowOff>95250</xdr:rowOff>
    </xdr:from>
    <xdr:to>
      <xdr:col>28</xdr:col>
      <xdr:colOff>238125</xdr:colOff>
      <xdr:row>37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13</xdr:row>
      <xdr:rowOff>161925</xdr:rowOff>
    </xdr:from>
    <xdr:to>
      <xdr:col>16</xdr:col>
      <xdr:colOff>352424</xdr:colOff>
      <xdr:row>38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"/>
  <sheetViews>
    <sheetView showGridLines="0" tabSelected="1" workbookViewId="0">
      <selection activeCell="B27" sqref="B27"/>
    </sheetView>
  </sheetViews>
  <sheetFormatPr defaultRowHeight="15" x14ac:dyDescent="0.25"/>
  <sheetData>
    <row r="2" spans="2:17" x14ac:dyDescent="0.25">
      <c r="B2" s="183" t="s">
        <v>878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2:17" x14ac:dyDescent="0.25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2:17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2:17" x14ac:dyDescent="0.2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2:17" x14ac:dyDescent="0.25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2:17" x14ac:dyDescent="0.25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2:17" x14ac:dyDescent="0.25"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2:17" x14ac:dyDescent="0.25"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2:17" x14ac:dyDescent="0.25"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</row>
    <row r="11" spans="2:17" x14ac:dyDescent="0.25"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2:17" x14ac:dyDescent="0.25"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2:17" x14ac:dyDescent="0.25"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2:17" x14ac:dyDescent="0.25"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2:17" x14ac:dyDescent="0.25"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2:17" x14ac:dyDescent="0.25"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2:17" x14ac:dyDescent="0.25"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2:17" x14ac:dyDescent="0.25"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2:17" x14ac:dyDescent="0.25"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2:17" x14ac:dyDescent="0.25"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2:17" x14ac:dyDescent="0.25"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2:17" x14ac:dyDescent="0.25"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2:17" ht="18.75" x14ac:dyDescent="0.3">
      <c r="B23" s="184" t="s">
        <v>881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</row>
    <row r="24" spans="2:17" ht="18.75" x14ac:dyDescent="0.3">
      <c r="B24" s="184" t="s">
        <v>710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</row>
    <row r="25" spans="2:17" ht="18.75" x14ac:dyDescent="0.3">
      <c r="B25" s="184" t="s">
        <v>711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</row>
    <row r="26" spans="2:17" ht="18.75" x14ac:dyDescent="0.3">
      <c r="B26" s="184" t="s">
        <v>882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</row>
  </sheetData>
  <sheetProtection algorithmName="SHA-512" hashValue="zHkfz+ox9SDon97Gc5H8lV2vo9Ywpf5Zt49oq0sYFN58HT5KPcgKNZqEHVF/0Tf+DNIiwEki6y90MUlaA0Qa/w==" saltValue="JvqKtju+I3yElx6gmJsaCg==" spinCount="100000" sheet="1" objects="1" scenarios="1"/>
  <mergeCells count="5">
    <mergeCell ref="B2:Q22"/>
    <mergeCell ref="B23:Q23"/>
    <mergeCell ref="B24:Q24"/>
    <mergeCell ref="B25:Q25"/>
    <mergeCell ref="B26:Q26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J17" sqref="J17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5703125" style="61" customWidth="1"/>
    <col min="7" max="7" width="8.5703125" style="61" customWidth="1"/>
    <col min="8" max="8" width="11.5703125" style="61" customWidth="1"/>
    <col min="9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520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x14ac:dyDescent="0.25">
      <c r="B6" s="62" t="s">
        <v>324</v>
      </c>
      <c r="C6" s="63">
        <v>5</v>
      </c>
      <c r="D6" s="63">
        <v>3</v>
      </c>
      <c r="E6" s="63">
        <v>2</v>
      </c>
      <c r="F6" s="64">
        <v>0.4</v>
      </c>
      <c r="G6" s="65">
        <f>C6*D6*E6*F6</f>
        <v>12</v>
      </c>
      <c r="H6" s="66">
        <f>IF(G6=0,"",(VLOOKUP($B$6:$B$15,Drugs_list!$C$9:$K$172,7,FALSE)))</f>
        <v>2.9</v>
      </c>
      <c r="I6" s="66">
        <f>IF(G6=0,"",(G6*H6))</f>
        <v>34.799999999999997</v>
      </c>
      <c r="K6" s="61" t="str">
        <f>VLOOKUP($B$6:$B$15,Drugs_list!$C$9:$K$172,9,FALSE)</f>
        <v>5ml</v>
      </c>
    </row>
    <row r="7" spans="2:11" x14ac:dyDescent="0.25">
      <c r="B7" s="62"/>
      <c r="C7" s="63"/>
      <c r="D7" s="63"/>
      <c r="E7" s="63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6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6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67">
        <f>SUM(I6:I15)</f>
        <v>34.799999999999997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 t="s">
        <v>306</v>
      </c>
      <c r="C21" s="63"/>
      <c r="D21" s="64"/>
      <c r="E21" s="65" t="str">
        <f>IF(C21="","",(VLOOKUP($B$21:$B$30,Supplies_list!$C$8:$G$64,5,FALSE)))</f>
        <v/>
      </c>
      <c r="F21" s="65" t="str">
        <f>IF(C21="","",(C21*D21*E21))</f>
        <v/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0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64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34.799999999999997</v>
      </c>
    </row>
    <row r="51" spans="2:3" x14ac:dyDescent="0.25">
      <c r="B51" s="69" t="s">
        <v>148</v>
      </c>
      <c r="C51" s="70">
        <f>F31</f>
        <v>0</v>
      </c>
    </row>
    <row r="52" spans="2:3" x14ac:dyDescent="0.25">
      <c r="B52" s="69" t="s">
        <v>569</v>
      </c>
      <c r="C52" s="70">
        <f>E47</f>
        <v>0</v>
      </c>
    </row>
    <row r="53" spans="2:3" x14ac:dyDescent="0.25">
      <c r="B53" s="166" t="s">
        <v>8</v>
      </c>
      <c r="C53" s="176">
        <f>SUM(C50:C52)</f>
        <v>34.799999999999997</v>
      </c>
    </row>
  </sheetData>
  <sheetProtection algorithmName="SHA-512" hashValue="wooyPMQqPuFeQEee95CyTngz95wVdTa16S0/yJGU773uln/uFXCG3M7zyXW/jZdZKzrHKSsG64iShps8c4VFtA==" saltValue="pfWW1rZe4SIWVZ5YznSy7A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scale="64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5703125" style="61" customWidth="1"/>
    <col min="7" max="7" width="8.5703125" style="61" customWidth="1"/>
    <col min="8" max="8" width="11.5703125" style="61" customWidth="1"/>
    <col min="9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521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ht="30" x14ac:dyDescent="0.25">
      <c r="B6" s="71" t="s">
        <v>425</v>
      </c>
      <c r="C6" s="76">
        <v>2</v>
      </c>
      <c r="D6" s="76">
        <v>2</v>
      </c>
      <c r="E6" s="77">
        <v>1</v>
      </c>
      <c r="F6" s="78">
        <v>1</v>
      </c>
      <c r="G6" s="79">
        <f>C6*D6*E6*F6</f>
        <v>4</v>
      </c>
      <c r="H6" s="80">
        <f>IF(G6=0,"",(VLOOKUP($B$6:$B$15,Drugs_list!$C$9:$K$172,7,FALSE)))</f>
        <v>4.2919999999999998</v>
      </c>
      <c r="I6" s="80">
        <f>IF(G6=0,"",(G6*H6))</f>
        <v>17.167999999999999</v>
      </c>
      <c r="K6" s="61" t="str">
        <f>VLOOKUP($B$6:$B$15,Drugs_list!$C$9:$K$172,9,FALSE)</f>
        <v>1pack</v>
      </c>
    </row>
    <row r="7" spans="2:11" x14ac:dyDescent="0.25">
      <c r="B7" s="62" t="s">
        <v>465</v>
      </c>
      <c r="C7" s="63">
        <v>8</v>
      </c>
      <c r="D7" s="63">
        <v>1</v>
      </c>
      <c r="E7" s="73">
        <v>1</v>
      </c>
      <c r="F7" s="64">
        <v>1</v>
      </c>
      <c r="G7" s="65">
        <f t="shared" ref="G7:G15" si="0">C7*D7*E7*F7</f>
        <v>8</v>
      </c>
      <c r="H7" s="66">
        <f>IF(G7=0,"",(VLOOKUP($B$6:$B$15,Drugs_list!$C$9:$K$172,7,FALSE)))</f>
        <v>2.4806600000000003</v>
      </c>
      <c r="I7" s="66">
        <f t="shared" ref="I7:I15" si="1">IF(G7=0,"",(G7*H7))</f>
        <v>19.845280000000002</v>
      </c>
      <c r="K7" s="61" t="str">
        <f>VLOOKUP($B$6:$B$15,Drugs_list!$C$9:$K$172,9,FALSE)</f>
        <v>1tab</v>
      </c>
    </row>
    <row r="8" spans="2:11" x14ac:dyDescent="0.25">
      <c r="B8" s="62"/>
      <c r="C8" s="63"/>
      <c r="D8" s="63"/>
      <c r="E8" s="7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6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67">
        <f>SUM(I6:I15)</f>
        <v>37.013280000000002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/>
      <c r="C21" s="63"/>
      <c r="D21" s="64"/>
      <c r="E21" s="65" t="str">
        <f>IF(C21="","",(VLOOKUP($B$21:$B$30,Supplies_list!$C$8:$G$64,5,FALSE)))</f>
        <v/>
      </c>
      <c r="F21" s="65" t="str">
        <f>IF(C21="","",(C21*D21*E21))</f>
        <v/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0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64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37.013280000000002</v>
      </c>
    </row>
    <row r="51" spans="2:3" x14ac:dyDescent="0.25">
      <c r="B51" s="69" t="s">
        <v>148</v>
      </c>
      <c r="C51" s="70">
        <f>F31</f>
        <v>0</v>
      </c>
    </row>
    <row r="52" spans="2:3" x14ac:dyDescent="0.25">
      <c r="B52" s="69" t="s">
        <v>569</v>
      </c>
      <c r="C52" s="70">
        <f>E47</f>
        <v>0</v>
      </c>
    </row>
    <row r="53" spans="2:3" x14ac:dyDescent="0.25">
      <c r="B53" s="166" t="s">
        <v>8</v>
      </c>
      <c r="C53" s="176">
        <f>SUM(C50:C52)</f>
        <v>37.013280000000002</v>
      </c>
    </row>
  </sheetData>
  <sheetProtection algorithmName="SHA-512" hashValue="pBtpt0ep81JvuUwYqcSvMWOSlXeffBtDxYoARG4DoJd7evvRZ7RPrQh+TAdoJNHvvGTLBcNxLULUw7FOMrz9PQ==" saltValue="zg0qsXDOi4MWoymNI5o1Vg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5703125" style="61" customWidth="1"/>
    <col min="7" max="7" width="8.5703125" style="61" customWidth="1"/>
    <col min="8" max="8" width="11.5703125" style="61" customWidth="1"/>
    <col min="9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522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ht="30" x14ac:dyDescent="0.25">
      <c r="B6" s="71" t="s">
        <v>425</v>
      </c>
      <c r="C6" s="63">
        <v>3</v>
      </c>
      <c r="D6" s="63">
        <v>3</v>
      </c>
      <c r="E6" s="73">
        <v>1</v>
      </c>
      <c r="F6" s="64">
        <v>1</v>
      </c>
      <c r="G6" s="65">
        <f>C6*D6*E6*F6</f>
        <v>9</v>
      </c>
      <c r="H6" s="66">
        <f>IF(G6=0,"",(VLOOKUP($B$6:$B$15,Drugs_list!$C$9:$K$172,7,FALSE)))</f>
        <v>4.2919999999999998</v>
      </c>
      <c r="I6" s="66">
        <f>IF(G6=0,"",(G6*H6))</f>
        <v>38.628</v>
      </c>
      <c r="K6" s="61" t="str">
        <f>VLOOKUP($B$6:$B$15,Drugs_list!$C$9:$K$172,9,FALSE)</f>
        <v>1pack</v>
      </c>
    </row>
    <row r="7" spans="2:11" x14ac:dyDescent="0.25">
      <c r="B7" s="62" t="s">
        <v>465</v>
      </c>
      <c r="C7" s="63">
        <v>14</v>
      </c>
      <c r="D7" s="63">
        <v>1</v>
      </c>
      <c r="E7" s="73">
        <v>1</v>
      </c>
      <c r="F7" s="64">
        <v>1</v>
      </c>
      <c r="G7" s="65">
        <f t="shared" ref="G7:G15" si="0">C7*D7*E7*F7</f>
        <v>14</v>
      </c>
      <c r="H7" s="66">
        <f>IF(G7=0,"",(VLOOKUP($B$6:$B$15,Drugs_list!$C$9:$K$172,7,FALSE)))</f>
        <v>2.4806600000000003</v>
      </c>
      <c r="I7" s="66">
        <f t="shared" ref="I7:I15" si="1">IF(G7=0,"",(G7*H7))</f>
        <v>34.729240000000004</v>
      </c>
      <c r="K7" s="61" t="str">
        <f>VLOOKUP($B$6:$B$15,Drugs_list!$C$9:$K$172,9,FALSE)</f>
        <v>1tab</v>
      </c>
    </row>
    <row r="8" spans="2:11" x14ac:dyDescent="0.25">
      <c r="B8" s="62"/>
      <c r="C8" s="63"/>
      <c r="D8" s="63"/>
      <c r="E8" s="7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6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67">
        <f>SUM(I6:I15)</f>
        <v>73.357240000000004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/>
      <c r="C21" s="63"/>
      <c r="D21" s="64"/>
      <c r="E21" s="65" t="str">
        <f>IF(C21="","",(VLOOKUP($B$21:$B$30,Supplies_list!$C$8:$G$64,5,FALSE)))</f>
        <v/>
      </c>
      <c r="F21" s="65" t="str">
        <f>IF(C21="","",(C21*D21*E21))</f>
        <v/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0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64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73.357240000000004</v>
      </c>
    </row>
    <row r="51" spans="2:3" x14ac:dyDescent="0.25">
      <c r="B51" s="69" t="s">
        <v>148</v>
      </c>
      <c r="C51" s="70">
        <f>F31</f>
        <v>0</v>
      </c>
    </row>
    <row r="52" spans="2:3" x14ac:dyDescent="0.25">
      <c r="B52" s="69" t="s">
        <v>569</v>
      </c>
      <c r="C52" s="70">
        <f>E47</f>
        <v>0</v>
      </c>
    </row>
    <row r="53" spans="2:3" x14ac:dyDescent="0.25">
      <c r="B53" s="166" t="s">
        <v>8</v>
      </c>
      <c r="C53" s="176">
        <f>SUM(C50:C52)</f>
        <v>73.357240000000004</v>
      </c>
    </row>
  </sheetData>
  <sheetProtection algorithmName="SHA-512" hashValue="mnXbGbSQlNXlbN/OPDewQRnL2SioLxYOiR+u8nJJKxtW0fNdTs2c+Ih0cO9lA7BjzQxrNqo88as4aAQLthjPmA==" saltValue="6zJDWmqFc9/GS8x2Z7oxKg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.85546875" style="61" bestFit="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64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x14ac:dyDescent="0.25">
      <c r="B6" s="71" t="s">
        <v>15</v>
      </c>
      <c r="C6" s="63">
        <v>1</v>
      </c>
      <c r="D6" s="63">
        <v>4</v>
      </c>
      <c r="E6" s="73">
        <v>1</v>
      </c>
      <c r="F6" s="64">
        <v>1</v>
      </c>
      <c r="G6" s="65">
        <f>C6*D6*E6*F6</f>
        <v>4</v>
      </c>
      <c r="H6" s="66">
        <f>IF(G6=0,"",(VLOOKUP($B$6:$B$15,Drugs_list!$C$9:$K$172,7,FALSE)))</f>
        <v>16.361800000000002</v>
      </c>
      <c r="I6" s="66">
        <f>IF(G6=0,"",(G6*H6))</f>
        <v>65.447200000000009</v>
      </c>
      <c r="K6" s="61" t="str">
        <f>VLOOKUP($B$6:$B$15,Drugs_list!$C$9:$K$172,9,FALSE)</f>
        <v>1dose</v>
      </c>
    </row>
    <row r="7" spans="2:11" x14ac:dyDescent="0.25">
      <c r="B7" s="62" t="s">
        <v>427</v>
      </c>
      <c r="C7" s="63">
        <v>1</v>
      </c>
      <c r="D7" s="63">
        <v>3</v>
      </c>
      <c r="E7" s="73">
        <v>1</v>
      </c>
      <c r="F7" s="64">
        <v>1</v>
      </c>
      <c r="G7" s="65">
        <f t="shared" ref="G7:G15" si="0">C7*D7*E7*F7</f>
        <v>3</v>
      </c>
      <c r="H7" s="66">
        <f>IF(G7=0,"",(VLOOKUP($B$6:$B$15,Drugs_list!$C$9:$K$172,7,FALSE)))</f>
        <v>394.4</v>
      </c>
      <c r="I7" s="66">
        <f t="shared" ref="I7:I15" si="1">IF(G7=0,"",(G7*H7))</f>
        <v>1183.1999999999998</v>
      </c>
      <c r="K7" s="61" t="str">
        <f>VLOOKUP($B$6:$B$15,Drugs_list!$C$9:$K$172,9,FALSE)</f>
        <v>dose</v>
      </c>
    </row>
    <row r="8" spans="2:11" x14ac:dyDescent="0.25">
      <c r="B8" s="62" t="s">
        <v>524</v>
      </c>
      <c r="C8" s="63">
        <v>1</v>
      </c>
      <c r="D8" s="63">
        <v>3</v>
      </c>
      <c r="E8" s="73">
        <v>1</v>
      </c>
      <c r="F8" s="64">
        <v>1</v>
      </c>
      <c r="G8" s="65">
        <f t="shared" si="0"/>
        <v>3</v>
      </c>
      <c r="H8" s="66">
        <f>IF(G8=0,"",(VLOOKUP($B$6:$B$15,Drugs_list!$C$9:$K$172,7,FALSE)))</f>
        <v>637</v>
      </c>
      <c r="I8" s="66">
        <f t="shared" si="1"/>
        <v>1911</v>
      </c>
      <c r="K8" s="61" t="str">
        <f>VLOOKUP($B$6:$B$15,Drugs_list!$C$9:$K$172,9,FALSE)</f>
        <v>1dose</v>
      </c>
    </row>
    <row r="9" spans="2:11" x14ac:dyDescent="0.25">
      <c r="B9" s="62" t="s">
        <v>16</v>
      </c>
      <c r="C9" s="63">
        <v>1</v>
      </c>
      <c r="D9" s="63">
        <v>2</v>
      </c>
      <c r="E9" s="73">
        <v>1</v>
      </c>
      <c r="F9" s="64">
        <v>1</v>
      </c>
      <c r="G9" s="65">
        <f t="shared" si="0"/>
        <v>2</v>
      </c>
      <c r="H9" s="66">
        <f>IF(G9=0,"",(VLOOKUP($B$6:$B$15,Drugs_list!$C$9:$K$172,7,FALSE)))</f>
        <v>31.667999999999999</v>
      </c>
      <c r="I9" s="66">
        <f t="shared" si="1"/>
        <v>63.335999999999999</v>
      </c>
      <c r="K9" s="61" t="str">
        <f>VLOOKUP($B$6:$B$15,Drugs_list!$C$9:$K$172,9,FALSE)</f>
        <v>1dose</v>
      </c>
    </row>
    <row r="10" spans="2:11" x14ac:dyDescent="0.25">
      <c r="B10" s="62" t="s">
        <v>333</v>
      </c>
      <c r="C10" s="63">
        <v>1</v>
      </c>
      <c r="D10" s="63">
        <v>1</v>
      </c>
      <c r="E10" s="73">
        <v>1</v>
      </c>
      <c r="F10" s="64">
        <v>1</v>
      </c>
      <c r="G10" s="65">
        <f t="shared" si="0"/>
        <v>1</v>
      </c>
      <c r="H10" s="66">
        <f>IF(G10=0,"",(VLOOKUP($B$6:$B$15,Drugs_list!$C$9:$K$172,7,FALSE)))</f>
        <v>12.18</v>
      </c>
      <c r="I10" s="66">
        <f t="shared" si="1"/>
        <v>12.18</v>
      </c>
      <c r="K10" s="61" t="str">
        <f>VLOOKUP($B$6:$B$15,Drugs_list!$C$9:$K$172,9,FALSE)</f>
        <v>1dose</v>
      </c>
    </row>
    <row r="11" spans="2:11" x14ac:dyDescent="0.25">
      <c r="B11" s="62" t="s">
        <v>17</v>
      </c>
      <c r="C11" s="63">
        <v>1</v>
      </c>
      <c r="D11" s="63">
        <v>1</v>
      </c>
      <c r="E11" s="73">
        <v>1</v>
      </c>
      <c r="F11" s="64">
        <v>1</v>
      </c>
      <c r="G11" s="65">
        <f t="shared" si="0"/>
        <v>1</v>
      </c>
      <c r="H11" s="66">
        <f>IF(G11=0,"",(VLOOKUP($B$6:$B$15,Drugs_list!$C$9:$K$172,7,FALSE)))</f>
        <v>42.223999999999997</v>
      </c>
      <c r="I11" s="66">
        <f t="shared" si="1"/>
        <v>42.223999999999997</v>
      </c>
      <c r="K11" s="61" t="str">
        <f>VLOOKUP($B$6:$B$15,Drugs_list!$C$9:$K$172,9,FALSE)</f>
        <v>1dose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80">
        <f>SUM(I6:I15)</f>
        <v>3277.3871999999997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 t="s">
        <v>525</v>
      </c>
      <c r="C21" s="63">
        <v>10</v>
      </c>
      <c r="D21" s="64">
        <v>1</v>
      </c>
      <c r="E21" s="65">
        <f>IF(C21="","",(VLOOKUP($B$21:$B$30,Supplies_list!$C$8:$G$64,5,FALSE)))</f>
        <v>4.95</v>
      </c>
      <c r="F21" s="65">
        <f>IF(C21="","",(C21*D21*E21))</f>
        <v>49.5</v>
      </c>
    </row>
    <row r="22" spans="2:6" x14ac:dyDescent="0.25">
      <c r="B22" s="62" t="s">
        <v>306</v>
      </c>
      <c r="C22" s="63">
        <v>4</v>
      </c>
      <c r="D22" s="64">
        <v>1</v>
      </c>
      <c r="E22" s="65">
        <f>IF(C22="","",(VLOOKUP($B$21:$B$30,Supplies_list!$C$8:$G$64,5,FALSE)))</f>
        <v>4.4000000000000004</v>
      </c>
      <c r="F22" s="65">
        <f t="shared" ref="F22:F30" si="2">IF(C22="","",(C22*D22*E22))</f>
        <v>17.600000000000001</v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67.099999999999994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64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3277.3871999999997</v>
      </c>
    </row>
    <row r="51" spans="2:3" x14ac:dyDescent="0.25">
      <c r="B51" s="69" t="s">
        <v>148</v>
      </c>
      <c r="C51" s="70">
        <f>F31</f>
        <v>67.099999999999994</v>
      </c>
    </row>
    <row r="52" spans="2:3" x14ac:dyDescent="0.25">
      <c r="B52" s="69" t="s">
        <v>569</v>
      </c>
      <c r="C52" s="70">
        <f>F47</f>
        <v>0</v>
      </c>
    </row>
    <row r="53" spans="2:3" x14ac:dyDescent="0.25">
      <c r="B53" s="166" t="s">
        <v>8</v>
      </c>
      <c r="C53" s="176">
        <f>SUM(C50:C52)</f>
        <v>3344.4871999999996</v>
      </c>
    </row>
  </sheetData>
  <sheetProtection algorithmName="SHA-512" hashValue="xoTOEc4wN4ZmH5r/I9cVOEHAftigOqCzIN6WWu24I+iix1Bhg43jWBEHNeaH25AXA0UHlMr1LqoqFID1f3Qm1Q==" saltValue="eIJesbb+2yAXSOTd4/M1dQ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523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x14ac:dyDescent="0.25">
      <c r="B6" s="71" t="s">
        <v>20</v>
      </c>
      <c r="C6" s="63">
        <v>3</v>
      </c>
      <c r="D6" s="63">
        <v>4</v>
      </c>
      <c r="E6" s="73">
        <v>0.25</v>
      </c>
      <c r="F6" s="64">
        <v>1</v>
      </c>
      <c r="G6" s="65">
        <f>C6*D6*E6*F6</f>
        <v>3</v>
      </c>
      <c r="H6" s="66">
        <f>IF(G6=0,"",(VLOOKUP($B$6:$B$15,Drugs_list!$C$9:$K$172,7,FALSE)))</f>
        <v>0.52200000000000002</v>
      </c>
      <c r="I6" s="66">
        <f>IF(G6=0,"",(G6*H6))</f>
        <v>1.5660000000000001</v>
      </c>
      <c r="K6" s="61" t="str">
        <f>VLOOKUP($B$6:$B$15,Drugs_list!$C$9:$K$172,9,FALSE)</f>
        <v>1tab</v>
      </c>
    </row>
    <row r="7" spans="2:11" x14ac:dyDescent="0.25">
      <c r="B7" s="62"/>
      <c r="C7" s="63"/>
      <c r="D7" s="63"/>
      <c r="E7" s="73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6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80">
        <f>SUM(I6:I15)</f>
        <v>1.5660000000000001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 t="s">
        <v>506</v>
      </c>
      <c r="C21" s="63">
        <v>1</v>
      </c>
      <c r="D21" s="64">
        <v>1</v>
      </c>
      <c r="E21" s="65">
        <f>IF(C21="","",(VLOOKUP($B$21:$B$30,Supplies_list!$C$8:$G$64,5,FALSE)))</f>
        <v>0.53900000000000003</v>
      </c>
      <c r="F21" s="65">
        <f>IF(C21="","",(C21*D21*E21))</f>
        <v>0.53900000000000003</v>
      </c>
    </row>
    <row r="22" spans="2:6" x14ac:dyDescent="0.25">
      <c r="B22" s="133" t="s">
        <v>306</v>
      </c>
      <c r="C22" s="63">
        <v>1</v>
      </c>
      <c r="D22" s="64">
        <v>1</v>
      </c>
      <c r="E22" s="65">
        <f>IF(C22="","",(VLOOKUP($B$21:$B$30,Supplies_list!$C$8:$G$64,5,FALSE)))</f>
        <v>4.4000000000000004</v>
      </c>
      <c r="F22" s="65">
        <f t="shared" ref="F22:F30" si="2">IF(C22="","",(C22*D22*E22))</f>
        <v>4.4000000000000004</v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4.9390000000000001</v>
      </c>
    </row>
    <row r="35" spans="2:6" ht="15.75" x14ac:dyDescent="0.25">
      <c r="B35" s="202" t="s">
        <v>163</v>
      </c>
      <c r="C35" s="202"/>
      <c r="D35" s="202"/>
      <c r="E35" s="202"/>
      <c r="F35" s="221"/>
    </row>
    <row r="36" spans="2:6" ht="20.25" customHeight="1" x14ac:dyDescent="0.25">
      <c r="B36" s="164" t="s">
        <v>0</v>
      </c>
      <c r="C36" s="164" t="s">
        <v>1</v>
      </c>
      <c r="D36" s="164" t="s">
        <v>518</v>
      </c>
      <c r="E36" s="164" t="s">
        <v>159</v>
      </c>
      <c r="F36" s="172" t="s">
        <v>160</v>
      </c>
    </row>
    <row r="37" spans="2:6" x14ac:dyDescent="0.25">
      <c r="B37" s="62" t="s">
        <v>183</v>
      </c>
      <c r="C37" s="63">
        <v>1</v>
      </c>
      <c r="D37" s="74">
        <v>0.25</v>
      </c>
      <c r="E37" s="65">
        <f>IF(C37="","",(VLOOKUP($B$37:$B$46,Lab_tests!$H$6:$I$47,2,FALSE)))</f>
        <v>5</v>
      </c>
      <c r="F37" s="65">
        <f t="shared" ref="F37:F46" si="3">IF(C37="","",(C37*D37*E37))</f>
        <v>1.25</v>
      </c>
    </row>
    <row r="38" spans="2:6" x14ac:dyDescent="0.25">
      <c r="B38" s="62"/>
      <c r="C38" s="63"/>
      <c r="D38" s="74"/>
      <c r="E38" s="65" t="str">
        <f>IF(B38="","",(VLOOKUP($B$37:$B$46,Lab_tests!$H$6:$I$47,2,FALSE)))</f>
        <v/>
      </c>
      <c r="F38" s="65" t="str">
        <f t="shared" si="3"/>
        <v/>
      </c>
    </row>
    <row r="39" spans="2:6" x14ac:dyDescent="0.25">
      <c r="B39" s="62"/>
      <c r="C39" s="63"/>
      <c r="D39" s="74"/>
      <c r="E39" s="65" t="str">
        <f>IF(B39="","",(VLOOKUP($B$37:$B$46,Lab_tests!$H$6:$I$47,2,FALSE)))</f>
        <v/>
      </c>
      <c r="F39" s="65" t="str">
        <f t="shared" si="3"/>
        <v/>
      </c>
    </row>
    <row r="40" spans="2:6" x14ac:dyDescent="0.25">
      <c r="B40" s="62"/>
      <c r="C40" s="63"/>
      <c r="D40" s="74"/>
      <c r="E40" s="65" t="str">
        <f>IF(B40="","",(VLOOKUP($B$37:$B$46,Lab_tests!$H$6:$I$47,2,FALSE)))</f>
        <v/>
      </c>
      <c r="F40" s="65" t="str">
        <f t="shared" si="3"/>
        <v/>
      </c>
    </row>
    <row r="41" spans="2:6" x14ac:dyDescent="0.25">
      <c r="B41" s="62"/>
      <c r="C41" s="63"/>
      <c r="D41" s="74"/>
      <c r="E41" s="65" t="str">
        <f>IF(B41="","",(VLOOKUP($B$37:$B$46,Lab_tests!$H$6:$I$47,2,FALSE)))</f>
        <v/>
      </c>
      <c r="F41" s="65" t="str">
        <f t="shared" si="3"/>
        <v/>
      </c>
    </row>
    <row r="42" spans="2:6" x14ac:dyDescent="0.25">
      <c r="B42" s="62"/>
      <c r="C42" s="63"/>
      <c r="D42" s="74"/>
      <c r="E42" s="65" t="str">
        <f>IF(B42="","",(VLOOKUP($B$37:$B$46,Lab_tests!$H$6:$I$47,2,FALSE)))</f>
        <v/>
      </c>
      <c r="F42" s="65" t="str">
        <f t="shared" si="3"/>
        <v/>
      </c>
    </row>
    <row r="43" spans="2:6" x14ac:dyDescent="0.25">
      <c r="B43" s="62"/>
      <c r="C43" s="63"/>
      <c r="D43" s="74"/>
      <c r="E43" s="65" t="str">
        <f>IF(B43="","",(VLOOKUP($B$37:$B$46,Lab_tests!$H$6:$I$47,2,FALSE)))</f>
        <v/>
      </c>
      <c r="F43" s="65" t="str">
        <f t="shared" si="3"/>
        <v/>
      </c>
    </row>
    <row r="44" spans="2:6" x14ac:dyDescent="0.25">
      <c r="B44" s="62"/>
      <c r="C44" s="63"/>
      <c r="D44" s="74"/>
      <c r="E44" s="65" t="str">
        <f>IF(B44="","",(VLOOKUP($B$37:$B$46,Lab_tests!$H$6:$I$47,2,FALSE)))</f>
        <v/>
      </c>
      <c r="F44" s="65" t="str">
        <f t="shared" si="3"/>
        <v/>
      </c>
    </row>
    <row r="45" spans="2:6" x14ac:dyDescent="0.25">
      <c r="B45" s="62"/>
      <c r="C45" s="63"/>
      <c r="D45" s="74"/>
      <c r="E45" s="65" t="str">
        <f>IF(B45="","",(VLOOKUP($B$37:$B$46,Lab_tests!$H$6:$I$47,2,FALSE)))</f>
        <v/>
      </c>
      <c r="F45" s="65" t="str">
        <f t="shared" si="3"/>
        <v/>
      </c>
    </row>
    <row r="46" spans="2:6" x14ac:dyDescent="0.25">
      <c r="B46" s="62"/>
      <c r="C46" s="63"/>
      <c r="D46" s="74"/>
      <c r="E46" s="65" t="str">
        <f>IF(B46="","",(VLOOKUP($B$37:$B$46,Lab_tests!$H$6:$I$47,2,FALSE)))</f>
        <v/>
      </c>
      <c r="F46" s="65" t="str">
        <f t="shared" si="3"/>
        <v/>
      </c>
    </row>
    <row r="47" spans="2:6" x14ac:dyDescent="0.25">
      <c r="B47" s="166" t="s">
        <v>8</v>
      </c>
      <c r="C47" s="173"/>
      <c r="D47" s="173"/>
      <c r="E47" s="173"/>
      <c r="F47" s="167">
        <f>SUM(F37:F43)</f>
        <v>1.25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1.5660000000000001</v>
      </c>
    </row>
    <row r="51" spans="2:3" x14ac:dyDescent="0.25">
      <c r="B51" s="69" t="s">
        <v>148</v>
      </c>
      <c r="C51" s="70">
        <f>F31</f>
        <v>4.9390000000000001</v>
      </c>
    </row>
    <row r="52" spans="2:3" x14ac:dyDescent="0.25">
      <c r="B52" s="69" t="s">
        <v>569</v>
      </c>
      <c r="C52" s="70">
        <f>F47</f>
        <v>1.25</v>
      </c>
    </row>
    <row r="53" spans="2:3" x14ac:dyDescent="0.25">
      <c r="B53" s="166" t="s">
        <v>8</v>
      </c>
      <c r="C53" s="176">
        <f>SUM(C50:C52)</f>
        <v>7.7549999999999999</v>
      </c>
    </row>
  </sheetData>
  <sheetProtection algorithmName="SHA-512" hashValue="YIwJGrIzJfEoF56mjdnGYDWvEKDHjja22lv8Ys8QnVwtqJMzAWl6/t8SfIQVOyM/ob94qVEyt2SApl9d0jPNAg==" saltValue="sTKPgkAeGfPQ2xhpw+TjUA==" spinCount="100000"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530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x14ac:dyDescent="0.25">
      <c r="B6" s="71" t="s">
        <v>526</v>
      </c>
      <c r="C6" s="63">
        <v>1</v>
      </c>
      <c r="D6" s="63">
        <v>155</v>
      </c>
      <c r="E6" s="73">
        <v>1</v>
      </c>
      <c r="F6" s="64">
        <v>1</v>
      </c>
      <c r="G6" s="65">
        <f>C6*D6*E6*F6</f>
        <v>155</v>
      </c>
      <c r="H6" s="66">
        <f>IF(G6=0,"",(VLOOKUP($B$6:$B$15,Drugs_list!$C$9:$K$184,7,FALSE)))</f>
        <v>0.57999999999999996</v>
      </c>
      <c r="I6" s="66">
        <f>IF(G6=0,"",(G6*H6))</f>
        <v>89.899999999999991</v>
      </c>
      <c r="K6" s="61" t="e">
        <f>VLOOKUP($B$6:$B$15,Drugs_list!$C$9:$K$172,9,FALSE)</f>
        <v>#N/A</v>
      </c>
    </row>
    <row r="7" spans="2:11" x14ac:dyDescent="0.25">
      <c r="B7" s="62"/>
      <c r="C7" s="63"/>
      <c r="D7" s="63"/>
      <c r="E7" s="73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7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7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7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80">
        <f>SUM(I6:I15)</f>
        <v>89.899999999999991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 t="s">
        <v>306</v>
      </c>
      <c r="C21" s="63">
        <v>1</v>
      </c>
      <c r="D21" s="64">
        <v>1</v>
      </c>
      <c r="E21" s="65">
        <f>IF(C21="","",(VLOOKUP($B$21:$B$30,Supplies_list!$C$8:$G$64,5,FALSE)))</f>
        <v>4.4000000000000004</v>
      </c>
      <c r="F21" s="65">
        <f>IF(C21="","",(C21*D21*E21))</f>
        <v>4.4000000000000004</v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4.4000000000000004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64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89.899999999999991</v>
      </c>
    </row>
    <row r="51" spans="2:3" x14ac:dyDescent="0.25">
      <c r="B51" s="69" t="s">
        <v>148</v>
      </c>
      <c r="C51" s="70">
        <f>F31</f>
        <v>4.4000000000000004</v>
      </c>
    </row>
    <row r="52" spans="2:3" x14ac:dyDescent="0.25">
      <c r="B52" s="69" t="s">
        <v>569</v>
      </c>
      <c r="C52" s="70">
        <f>F47</f>
        <v>0</v>
      </c>
    </row>
    <row r="53" spans="2:3" x14ac:dyDescent="0.25">
      <c r="B53" s="166" t="s">
        <v>8</v>
      </c>
      <c r="C53" s="176">
        <f>SUM(C50:C52)</f>
        <v>94.3</v>
      </c>
    </row>
  </sheetData>
  <sheetProtection algorithmName="SHA-512" hashValue="arWEi/vM9KlTu4rtOJi2VmXjY2pDuqoa2dnTEb15mGUW1e0zhIrJP6N8dJJQ1jhZvSwK6YouBAsLXCa0XRxvVg==" saltValue="BwH449cPWyxIQweA7T0pHA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531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x14ac:dyDescent="0.25">
      <c r="B6" s="71" t="s">
        <v>399</v>
      </c>
      <c r="C6" s="63">
        <v>1</v>
      </c>
      <c r="D6" s="63">
        <v>15</v>
      </c>
      <c r="E6" s="73">
        <v>1</v>
      </c>
      <c r="F6" s="64">
        <v>1</v>
      </c>
      <c r="G6" s="65">
        <f>C6*D6*E6*F6</f>
        <v>15</v>
      </c>
      <c r="H6" s="66">
        <f>IF(G6=0,"",(VLOOKUP($B$6:$B$15,Drugs_list!$C$9:$K$184,7,FALSE)))</f>
        <v>5.8</v>
      </c>
      <c r="I6" s="66">
        <f>IF(G6=0,"",(G6*H6))</f>
        <v>87</v>
      </c>
      <c r="K6" s="61" t="str">
        <f>VLOOKUP($B$6:$B$15,Drugs_list!$C$9:$K$172,9,FALSE)</f>
        <v>cycle</v>
      </c>
    </row>
    <row r="7" spans="2:11" x14ac:dyDescent="0.25">
      <c r="B7" s="62"/>
      <c r="C7" s="63"/>
      <c r="D7" s="63"/>
      <c r="E7" s="73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7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7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7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80">
        <f>SUM(I6:I15)</f>
        <v>87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 t="s">
        <v>306</v>
      </c>
      <c r="C21" s="63">
        <v>1</v>
      </c>
      <c r="D21" s="64">
        <v>1</v>
      </c>
      <c r="E21" s="65">
        <f>IF(C21="","",(VLOOKUP($B$21:$B$30,Supplies_list!$C$8:$G$64,5,FALSE)))</f>
        <v>4.4000000000000004</v>
      </c>
      <c r="F21" s="65">
        <f>IF(C21="","",(C21*D21*E21))</f>
        <v>4.4000000000000004</v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4.4000000000000004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64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87</v>
      </c>
    </row>
    <row r="51" spans="2:3" x14ac:dyDescent="0.25">
      <c r="B51" s="69" t="s">
        <v>148</v>
      </c>
      <c r="C51" s="70">
        <f>F31</f>
        <v>4.4000000000000004</v>
      </c>
    </row>
    <row r="52" spans="2:3" x14ac:dyDescent="0.25">
      <c r="B52" s="69" t="s">
        <v>569</v>
      </c>
      <c r="C52" s="70">
        <f>E47</f>
        <v>0</v>
      </c>
    </row>
    <row r="53" spans="2:3" x14ac:dyDescent="0.25">
      <c r="B53" s="166" t="s">
        <v>8</v>
      </c>
      <c r="C53" s="176">
        <f>SUM(C50:C52)</f>
        <v>91.4</v>
      </c>
    </row>
  </sheetData>
  <sheetProtection algorithmName="SHA-512" hashValue="lrop4Fvj6n9xcXRQ+/AodtMWUy1YlUDGrGRueAxEwWPxyb4rOdt9gIesHCGlJSYun5ZzHxegvB6lxbB+BknbiQ==" saltValue="vTmSYBLC7s9J1GGRz1XlZw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B6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B7:B15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532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x14ac:dyDescent="0.25">
      <c r="B6" s="71" t="s">
        <v>405</v>
      </c>
      <c r="C6" s="63">
        <v>1</v>
      </c>
      <c r="D6" s="63">
        <v>4</v>
      </c>
      <c r="E6" s="73">
        <v>1</v>
      </c>
      <c r="F6" s="64">
        <v>1</v>
      </c>
      <c r="G6" s="65">
        <f>C6*D6*E6*F6</f>
        <v>4</v>
      </c>
      <c r="H6" s="66">
        <f>IF(G6=0,"",(VLOOKUP($B$6:$B$15,Drugs_list!$C$9:$K$184,7,FALSE)))</f>
        <v>8.120000000000001</v>
      </c>
      <c r="I6" s="66">
        <f>IF(G6=0,"",(G6*H6))</f>
        <v>32.480000000000004</v>
      </c>
      <c r="K6" s="61" t="str">
        <f>VLOOKUP($B$6:$B$15,Drugs_list!$C$9:$K$172,9,FALSE)</f>
        <v>1inj</v>
      </c>
    </row>
    <row r="7" spans="2:11" x14ac:dyDescent="0.25">
      <c r="B7" s="62"/>
      <c r="C7" s="63"/>
      <c r="D7" s="63"/>
      <c r="E7" s="73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7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7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7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80">
        <f>SUM(I6:I15)</f>
        <v>32.480000000000004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 t="s">
        <v>149</v>
      </c>
      <c r="C21" s="63">
        <v>4</v>
      </c>
      <c r="D21" s="64">
        <v>1</v>
      </c>
      <c r="E21" s="65">
        <f>IF(C21="","",(VLOOKUP($B$21:$B$30,Supplies_list!$C$8:$G$64,5,FALSE)))</f>
        <v>3.3</v>
      </c>
      <c r="F21" s="65">
        <f>IF(C21="","",(C21*D21*E21))</f>
        <v>13.2</v>
      </c>
    </row>
    <row r="22" spans="2:6" x14ac:dyDescent="0.25">
      <c r="B22" s="62" t="s">
        <v>712</v>
      </c>
      <c r="C22" s="63">
        <v>4</v>
      </c>
      <c r="D22" s="64">
        <v>1</v>
      </c>
      <c r="E22" s="65">
        <f>IF(C22="","",(VLOOKUP($B$21:$B$30,Supplies_list!$C$8:$G$64,5,FALSE)))</f>
        <v>3.4980000000000002</v>
      </c>
      <c r="F22" s="65">
        <f t="shared" ref="F22:F30" si="2">IF(C22="","",(C22*D22*E22))</f>
        <v>13.992000000000001</v>
      </c>
    </row>
    <row r="23" spans="2:6" x14ac:dyDescent="0.25">
      <c r="B23" s="62" t="s">
        <v>306</v>
      </c>
      <c r="C23" s="63">
        <v>1</v>
      </c>
      <c r="D23" s="64">
        <v>1</v>
      </c>
      <c r="E23" s="65">
        <f>IF(C23="","",(VLOOKUP($B$21:$B$30,Supplies_list!$C$8:$G$64,5,FALSE)))</f>
        <v>4.4000000000000004</v>
      </c>
      <c r="F23" s="65">
        <f t="shared" si="2"/>
        <v>4.4000000000000004</v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31.591999999999999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64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32.480000000000004</v>
      </c>
    </row>
    <row r="51" spans="2:3" x14ac:dyDescent="0.25">
      <c r="B51" s="69" t="s">
        <v>148</v>
      </c>
      <c r="C51" s="70">
        <f>F31</f>
        <v>31.591999999999999</v>
      </c>
    </row>
    <row r="52" spans="2:3" x14ac:dyDescent="0.25">
      <c r="B52" s="69" t="s">
        <v>569</v>
      </c>
      <c r="C52" s="70">
        <f>E47</f>
        <v>0</v>
      </c>
    </row>
    <row r="53" spans="2:3" x14ac:dyDescent="0.25">
      <c r="B53" s="166" t="s">
        <v>8</v>
      </c>
      <c r="C53" s="176">
        <f>SUM(C50:C52)</f>
        <v>64.072000000000003</v>
      </c>
    </row>
  </sheetData>
  <sheetProtection algorithmName="SHA-512" hashValue="W9P1/QzADumsiHTiBNPYW97UKRm3Nd0OMuS9Nta9TRgruoJmh5N2kXnL/aizH/k9n6iUXpYluA0KYZHYaa/rNg==" saltValue="9T5ywWxiaGOGZ+rhte0feA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533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64" t="s">
        <v>8</v>
      </c>
      <c r="H5" s="164" t="s">
        <v>2</v>
      </c>
      <c r="I5" s="205"/>
    </row>
    <row r="6" spans="2:11" x14ac:dyDescent="0.25">
      <c r="B6" s="71" t="s">
        <v>20</v>
      </c>
      <c r="C6" s="63">
        <v>2</v>
      </c>
      <c r="D6" s="63">
        <v>2</v>
      </c>
      <c r="E6" s="73">
        <v>1</v>
      </c>
      <c r="F6" s="64">
        <v>1</v>
      </c>
      <c r="G6" s="65">
        <f>C6*D6*E6*F6</f>
        <v>4</v>
      </c>
      <c r="H6" s="66">
        <f>IF(G6=0,"",(VLOOKUP($B$6:$B$15,Drugs_list!$C$9:$K$184,7,FALSE)))</f>
        <v>0.52200000000000002</v>
      </c>
      <c r="I6" s="66">
        <f>IF(G6=0,"",(G6*H6))</f>
        <v>2.0880000000000001</v>
      </c>
      <c r="K6" s="61" t="str">
        <f>VLOOKUP($B$6:$B$15,Drugs_list!$C$9:$K$172,9,FALSE)</f>
        <v>1tab</v>
      </c>
    </row>
    <row r="7" spans="2:11" x14ac:dyDescent="0.25">
      <c r="B7" s="62"/>
      <c r="C7" s="63"/>
      <c r="D7" s="63"/>
      <c r="E7" s="73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7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7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7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80">
        <f>SUM(I6:I15)</f>
        <v>2.0880000000000001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64" t="s">
        <v>1</v>
      </c>
      <c r="D20" s="164" t="s">
        <v>518</v>
      </c>
      <c r="E20" s="164" t="s">
        <v>159</v>
      </c>
      <c r="F20" s="164" t="s">
        <v>160</v>
      </c>
    </row>
    <row r="21" spans="2:6" x14ac:dyDescent="0.25">
      <c r="B21" s="62"/>
      <c r="C21" s="63"/>
      <c r="D21" s="64"/>
      <c r="E21" s="65" t="str">
        <f>IF(C21="","",(VLOOKUP($B$21:$B$30,Supplies_list!$C$8:$G$64,5,FALSE)))</f>
        <v/>
      </c>
      <c r="F21" s="65" t="str">
        <f>IF(C21="","",(C21*D21*E21))</f>
        <v/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0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64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I16</f>
        <v>2.0880000000000001</v>
      </c>
    </row>
    <row r="51" spans="2:3" x14ac:dyDescent="0.25">
      <c r="B51" s="69" t="s">
        <v>148</v>
      </c>
      <c r="C51" s="70">
        <f>F31</f>
        <v>0</v>
      </c>
    </row>
    <row r="52" spans="2:3" x14ac:dyDescent="0.25">
      <c r="B52" s="69" t="s">
        <v>569</v>
      </c>
      <c r="C52" s="70">
        <f>E47</f>
        <v>0</v>
      </c>
    </row>
    <row r="53" spans="2:3" x14ac:dyDescent="0.25">
      <c r="B53" s="166" t="s">
        <v>8</v>
      </c>
      <c r="C53" s="176">
        <f>SUM(C50:C52)</f>
        <v>2.0880000000000001</v>
      </c>
    </row>
  </sheetData>
  <sheetProtection algorithmName="SHA-512" hashValue="8Zx1KQ3jx0vF1N5xTMu173PTFlWnRgry202BQIITppBCS5jD85JUcXm2EX+dU0odgb5j8V/aQy7inBVOzKj2Dg==" saltValue="aGqWwqD9flIabN7hpuIDaQ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Drugs_list!$C$9:$C$172</xm:f>
          </x14:formula1>
          <xm:sqref>B7:B15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Drugs_list!$C$9:$C$184</xm:f>
          </x14:formula1>
          <xm:sqref>B6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E44" sqref="C44:E46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42578125" style="61" customWidth="1"/>
    <col min="7" max="7" width="8.5703125" style="61" customWidth="1"/>
    <col min="8" max="9" width="11.5703125" style="61" customWidth="1"/>
    <col min="10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861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72" t="s">
        <v>8</v>
      </c>
      <c r="H5" s="172" t="s">
        <v>2</v>
      </c>
      <c r="I5" s="205"/>
    </row>
    <row r="6" spans="2:11" x14ac:dyDescent="0.25">
      <c r="B6" s="71"/>
      <c r="C6" s="63"/>
      <c r="D6" s="63"/>
      <c r="E6" s="72"/>
      <c r="F6" s="64"/>
      <c r="G6" s="65">
        <f>C6*D6*E6*F6</f>
        <v>0</v>
      </c>
      <c r="H6" s="66" t="str">
        <f>IF(G6=0,"",(VLOOKUP($B$6:$B$15,Drugs_list!$C$9:$K$184,7,FALSE)))</f>
        <v/>
      </c>
      <c r="I6" s="66" t="str">
        <f>IF(G6=0,"",(G6*H6))</f>
        <v/>
      </c>
      <c r="K6" s="61" t="e">
        <f>VLOOKUP($B$6:$B$15,Drugs_list!$C$9:$K$172,9,FALSE)</f>
        <v>#N/A</v>
      </c>
    </row>
    <row r="7" spans="2:11" x14ac:dyDescent="0.25">
      <c r="B7" s="71" t="s">
        <v>859</v>
      </c>
      <c r="C7" s="63">
        <v>60</v>
      </c>
      <c r="D7" s="63">
        <v>1</v>
      </c>
      <c r="E7" s="73">
        <v>1</v>
      </c>
      <c r="F7" s="64">
        <v>1</v>
      </c>
      <c r="G7" s="65">
        <f t="shared" ref="G7:G15" si="0">C7*D7*E7*F7</f>
        <v>60</v>
      </c>
      <c r="H7" s="66">
        <f>IF(G7=0,"",(VLOOKUP($B$6:$B$15,Drugs_list!$C$9:$K$178,7,FALSE)))</f>
        <v>3.2479999999999998</v>
      </c>
      <c r="I7" s="66">
        <f t="shared" ref="I7:I15" si="1">IF(G7=0,"",(G7*H7))</f>
        <v>194.88</v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7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7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7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7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80">
        <f>SUM(I6:I15)</f>
        <v>194.88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72" t="s">
        <v>1</v>
      </c>
      <c r="D20" s="172" t="s">
        <v>518</v>
      </c>
      <c r="E20" s="172" t="s">
        <v>159</v>
      </c>
      <c r="F20" s="172" t="s">
        <v>160</v>
      </c>
    </row>
    <row r="21" spans="2:6" x14ac:dyDescent="0.25">
      <c r="B21" s="62"/>
      <c r="C21" s="63"/>
      <c r="D21" s="64"/>
      <c r="E21" s="65" t="str">
        <f>IF(C21="","",(VLOOKUP($B$21:$B$30,Supplies_list!$C$8:$G$64,5,FALSE)))</f>
        <v/>
      </c>
      <c r="F21" s="65" t="str">
        <f>IF(C21="","",(C21*D21*E21))</f>
        <v/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0</v>
      </c>
    </row>
    <row r="35" spans="2:6" ht="15.75" x14ac:dyDescent="0.25">
      <c r="B35" s="202" t="s">
        <v>163</v>
      </c>
      <c r="C35" s="202"/>
      <c r="D35" s="202"/>
      <c r="E35" s="202"/>
      <c r="F35" s="202"/>
    </row>
    <row r="36" spans="2:6" ht="30" x14ac:dyDescent="0.25">
      <c r="B36" s="172" t="s">
        <v>0</v>
      </c>
      <c r="C36" s="172" t="s">
        <v>1</v>
      </c>
      <c r="D36" s="172" t="s">
        <v>518</v>
      </c>
      <c r="E36" s="172" t="s">
        <v>159</v>
      </c>
      <c r="F36" s="172" t="s">
        <v>160</v>
      </c>
    </row>
    <row r="37" spans="2:6" x14ac:dyDescent="0.25">
      <c r="B37" s="62"/>
      <c r="C37" s="63"/>
      <c r="D37" s="74"/>
      <c r="E37" s="65" t="str">
        <f>IF(B37="","",(VLOOKUP($B$37:$B$46,Lab_tests!$H$6:$I$47,2,FALSE)))</f>
        <v/>
      </c>
      <c r="F37" s="65" t="str">
        <f>IF(C37="","",(C37*D37*E37))</f>
        <v/>
      </c>
    </row>
    <row r="38" spans="2:6" x14ac:dyDescent="0.25">
      <c r="B38" s="62"/>
      <c r="C38" s="63"/>
      <c r="D38" s="74"/>
      <c r="E38" s="65" t="str">
        <f>IF(B38="","",(VLOOKUP($B$37:$B$46,Lab_tests!$H$6:$I$47,2,FALSE)))</f>
        <v/>
      </c>
      <c r="F38" s="65" t="str">
        <f t="shared" ref="F38:F46" si="3">IF(C38="","",(C38*D38*E38))</f>
        <v/>
      </c>
    </row>
    <row r="39" spans="2:6" x14ac:dyDescent="0.25">
      <c r="B39" s="62"/>
      <c r="C39" s="63"/>
      <c r="D39" s="74"/>
      <c r="E39" s="65" t="str">
        <f>IF(B39="","",(VLOOKUP($B$37:$B$46,Lab_tests!$H$6:$I$47,2,FALSE)))</f>
        <v/>
      </c>
      <c r="F39" s="65" t="str">
        <f t="shared" si="3"/>
        <v/>
      </c>
    </row>
    <row r="40" spans="2:6" x14ac:dyDescent="0.25">
      <c r="B40" s="62"/>
      <c r="C40" s="63"/>
      <c r="D40" s="75"/>
      <c r="E40" s="65" t="str">
        <f>IF(B40="","",(VLOOKUP($B$37:$B$46,Lab_tests!$H$6:$I$47,2,FALSE)))</f>
        <v/>
      </c>
      <c r="F40" s="65" t="str">
        <f t="shared" si="3"/>
        <v/>
      </c>
    </row>
    <row r="41" spans="2:6" x14ac:dyDescent="0.25">
      <c r="B41" s="62"/>
      <c r="C41" s="63"/>
      <c r="D41" s="74"/>
      <c r="E41" s="65" t="str">
        <f>IF(B41="","",(VLOOKUP($B$37:$B$46,Lab_tests!$H$6:$I$47,2,FALSE)))</f>
        <v/>
      </c>
      <c r="F41" s="65" t="str">
        <f t="shared" si="3"/>
        <v/>
      </c>
    </row>
    <row r="42" spans="2:6" x14ac:dyDescent="0.25">
      <c r="B42" s="62"/>
      <c r="C42" s="63"/>
      <c r="D42" s="74"/>
      <c r="E42" s="65" t="str">
        <f>IF(B42="","",(VLOOKUP($B$37:$B$46,Lab_tests!$H$6:$I$47,2,FALSE)))</f>
        <v/>
      </c>
      <c r="F42" s="65" t="str">
        <f t="shared" si="3"/>
        <v/>
      </c>
    </row>
    <row r="43" spans="2:6" x14ac:dyDescent="0.25">
      <c r="B43" s="62"/>
      <c r="C43" s="63"/>
      <c r="D43" s="74"/>
      <c r="E43" s="65" t="str">
        <f>IF(B43="","",(VLOOKUP($B$37:$B$46,Lab_tests!$H$6:$I$47,2,FALSE)))</f>
        <v/>
      </c>
      <c r="F43" s="65" t="str">
        <f t="shared" si="3"/>
        <v/>
      </c>
    </row>
    <row r="44" spans="2:6" x14ac:dyDescent="0.25">
      <c r="B44" s="62"/>
      <c r="C44" s="63"/>
      <c r="D44" s="74"/>
      <c r="E44" s="65" t="str">
        <f>IF(B44="","",(VLOOKUP($B$37:$B$46,Lab_tests!$H$6:$I$47,2,FALSE)))</f>
        <v/>
      </c>
      <c r="F44" s="65" t="str">
        <f t="shared" si="3"/>
        <v/>
      </c>
    </row>
    <row r="45" spans="2:6" x14ac:dyDescent="0.25">
      <c r="B45" s="62"/>
      <c r="C45" s="63"/>
      <c r="D45" s="74"/>
      <c r="E45" s="65" t="str">
        <f>IF(B45="","",(VLOOKUP($B$37:$B$46,Lab_tests!$H$6:$I$47,2,FALSE)))</f>
        <v/>
      </c>
      <c r="F45" s="65" t="str">
        <f t="shared" si="3"/>
        <v/>
      </c>
    </row>
    <row r="46" spans="2:6" x14ac:dyDescent="0.25">
      <c r="B46" s="62"/>
      <c r="C46" s="63"/>
      <c r="D46" s="74"/>
      <c r="E46" s="65" t="str">
        <f>IF(B46="","",(VLOOKUP($B$37:$B$46,Lab_tests!$H$6:$I$47,2,FALSE)))</f>
        <v/>
      </c>
      <c r="F46" s="65" t="str">
        <f t="shared" si="3"/>
        <v/>
      </c>
    </row>
    <row r="47" spans="2:6" x14ac:dyDescent="0.25">
      <c r="B47" s="166" t="s">
        <v>8</v>
      </c>
      <c r="C47" s="173"/>
      <c r="D47" s="173"/>
      <c r="E47" s="173"/>
      <c r="F47" s="167">
        <f>SUM(F37:F43)</f>
        <v>0</v>
      </c>
    </row>
    <row r="53" spans="2:3" x14ac:dyDescent="0.25">
      <c r="B53" s="151"/>
      <c r="C53" s="151"/>
    </row>
  </sheetData>
  <sheetProtection algorithmName="SHA-512" hashValue="QWCsXD5X/7Rr4C/K2672VWZQBhQ06PTE4OuV7ysf0r+g4/u2miIUPzkFN5YO9CI7vDTz/v8kcuVnFTN7uaZhVA==" saltValue="PD7qeirxpiahEitMI78Izg==" spinCount="100000" sheet="1" objects="1" scenarios="1"/>
  <mergeCells count="9">
    <mergeCell ref="B19:F19"/>
    <mergeCell ref="B35:F35"/>
    <mergeCell ref="B3:I3"/>
    <mergeCell ref="B4:B5"/>
    <mergeCell ref="C4:D4"/>
    <mergeCell ref="E4:E5"/>
    <mergeCell ref="F4:F5"/>
    <mergeCell ref="G4:H4"/>
    <mergeCell ref="I4:I5"/>
  </mergeCells>
  <dataValidations count="1">
    <dataValidation type="list" allowBlank="1" showInputMessage="1" showErrorMessage="1" sqref="B6">
      <formula1>"Drugs_list!$C$9:$C$176$184"</formula1>
    </dataValidation>
  </dataValidations>
  <pageMargins left="0.25" right="0.25" top="0.75" bottom="0.75" header="0.3" footer="0.3"/>
  <pageSetup paperSize="9" scale="6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Drugs_list!$C$9:$C$184</xm:f>
          </x14:formula1>
          <xm:sqref>B7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B8:B15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62"/>
  <sheetViews>
    <sheetView showGridLines="0" zoomScaleNormal="100" workbookViewId="0">
      <selection activeCell="B32" sqref="B32"/>
    </sheetView>
  </sheetViews>
  <sheetFormatPr defaultRowHeight="18.75" x14ac:dyDescent="0.3"/>
  <cols>
    <col min="1" max="1" width="9.140625" style="42"/>
    <col min="2" max="2" width="35.7109375" style="42" customWidth="1"/>
    <col min="3" max="3" width="19.140625" style="42" bestFit="1" customWidth="1"/>
    <col min="4" max="6" width="16" style="42" bestFit="1" customWidth="1"/>
    <col min="7" max="7" width="9.140625" style="42"/>
    <col min="8" max="8" width="11.28515625" style="42" bestFit="1" customWidth="1"/>
    <col min="9" max="9" width="12.140625" style="42" bestFit="1" customWidth="1"/>
    <col min="10" max="13" width="12.28515625" style="42" bestFit="1" customWidth="1"/>
    <col min="14" max="14" width="9.42578125" style="42" bestFit="1" customWidth="1"/>
    <col min="15" max="18" width="9.140625" style="42"/>
    <col min="19" max="19" width="9.140625" style="42" customWidth="1"/>
    <col min="20" max="20" width="12" style="42" customWidth="1"/>
    <col min="21" max="16384" width="9.140625" style="42"/>
  </cols>
  <sheetData>
    <row r="2" spans="2:29" x14ac:dyDescent="0.3">
      <c r="B2" s="189" t="s">
        <v>864</v>
      </c>
      <c r="C2" s="190"/>
      <c r="D2" s="190"/>
      <c r="E2" s="190"/>
      <c r="F2" s="190"/>
    </row>
    <row r="3" spans="2:29" x14ac:dyDescent="0.3">
      <c r="B3" s="129" t="s">
        <v>594</v>
      </c>
      <c r="C3" s="130" t="e">
        <f>pop_1</f>
        <v>#REF!</v>
      </c>
      <c r="D3" s="130" t="e">
        <f>pop_2</f>
        <v>#REF!</v>
      </c>
      <c r="E3" s="130" t="e">
        <f>pop_3</f>
        <v>#REF!</v>
      </c>
      <c r="F3" s="130" t="e">
        <f>Pop_4</f>
        <v>#REF!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2:29" s="61" customFormat="1" x14ac:dyDescent="0.3">
      <c r="N4" s="108"/>
      <c r="O4" s="108"/>
      <c r="P4" s="108"/>
      <c r="Q4" s="108"/>
      <c r="R4" s="108"/>
      <c r="S4" s="122">
        <v>0.05</v>
      </c>
      <c r="T4" s="123">
        <f>-0.5%</f>
        <v>-5.0000000000000001E-3</v>
      </c>
      <c r="U4" s="126">
        <v>0.05</v>
      </c>
      <c r="V4" s="108"/>
      <c r="W4" s="108"/>
      <c r="X4" s="108"/>
      <c r="Y4" s="108"/>
      <c r="Z4" s="108"/>
      <c r="AA4" s="108"/>
      <c r="AB4" s="108"/>
      <c r="AC4" s="108"/>
    </row>
    <row r="5" spans="2:29" x14ac:dyDescent="0.3">
      <c r="B5" s="129" t="s">
        <v>585</v>
      </c>
      <c r="C5" s="131" t="s">
        <v>578</v>
      </c>
      <c r="D5" s="131" t="s">
        <v>578</v>
      </c>
      <c r="E5" s="131" t="s">
        <v>578</v>
      </c>
      <c r="F5" s="131" t="s">
        <v>578</v>
      </c>
      <c r="N5" s="44"/>
      <c r="O5" s="44"/>
      <c r="P5" s="44"/>
      <c r="Q5" s="44"/>
      <c r="R5" s="44"/>
      <c r="S5" s="122">
        <v>0.1</v>
      </c>
      <c r="T5" s="124">
        <f>T4-0.25%</f>
        <v>-7.4999999999999997E-3</v>
      </c>
      <c r="U5" s="44">
        <v>10</v>
      </c>
      <c r="V5" s="44"/>
      <c r="W5" s="44"/>
      <c r="X5" s="44"/>
      <c r="Y5" s="44"/>
      <c r="Z5" s="44"/>
      <c r="AA5" s="44"/>
      <c r="AB5" s="44"/>
      <c r="AC5" s="44"/>
    </row>
    <row r="6" spans="2:29" x14ac:dyDescent="0.3">
      <c r="B6" s="46" t="s">
        <v>568</v>
      </c>
      <c r="C6" s="49">
        <f>Staff_cost!$F$34</f>
        <v>263748</v>
      </c>
      <c r="D6" s="49">
        <f>Staff_cost!$F$34</f>
        <v>263748</v>
      </c>
      <c r="E6" s="49">
        <f>Staff_cost!$F$34</f>
        <v>263748</v>
      </c>
      <c r="F6" s="49">
        <f>Staff_cost!$F$34</f>
        <v>263748</v>
      </c>
      <c r="N6" s="44" t="s">
        <v>685</v>
      </c>
      <c r="O6" s="44"/>
      <c r="P6" s="44"/>
      <c r="Q6" s="44"/>
      <c r="R6" s="44"/>
      <c r="S6" s="122">
        <v>0.15</v>
      </c>
      <c r="T6" s="124">
        <f t="shared" ref="T6:T9" si="0">T5-0.25%</f>
        <v>-0.01</v>
      </c>
      <c r="U6" s="44"/>
      <c r="V6" s="44"/>
      <c r="W6" s="44"/>
      <c r="X6" s="44"/>
      <c r="Y6" s="44"/>
      <c r="Z6" s="44"/>
      <c r="AA6" s="44"/>
      <c r="AB6" s="44"/>
      <c r="AC6" s="44"/>
    </row>
    <row r="7" spans="2:29" x14ac:dyDescent="0.3">
      <c r="B7" s="46" t="s">
        <v>593</v>
      </c>
      <c r="C7" s="49" t="e">
        <f>#REF!</f>
        <v>#REF!</v>
      </c>
      <c r="D7" s="49" t="e">
        <f>#REF!</f>
        <v>#REF!</v>
      </c>
      <c r="E7" s="49" t="e">
        <f>#REF!</f>
        <v>#REF!</v>
      </c>
      <c r="F7" s="49" t="e">
        <f>#REF!</f>
        <v>#REF!</v>
      </c>
      <c r="N7" s="44" t="s">
        <v>686</v>
      </c>
      <c r="O7" s="44"/>
      <c r="P7" s="44"/>
      <c r="Q7" s="44"/>
      <c r="R7" s="44"/>
      <c r="S7" s="122">
        <v>0.2</v>
      </c>
      <c r="T7" s="124">
        <f t="shared" si="0"/>
        <v>-1.2500000000000001E-2</v>
      </c>
      <c r="U7" s="44"/>
      <c r="V7" s="44"/>
      <c r="W7" s="44"/>
      <c r="X7" s="44"/>
      <c r="Y7" s="44"/>
      <c r="Z7" s="44"/>
      <c r="AA7" s="44"/>
      <c r="AB7" s="44"/>
      <c r="AC7" s="44"/>
    </row>
    <row r="8" spans="2:29" x14ac:dyDescent="0.3">
      <c r="B8" s="46" t="s">
        <v>64</v>
      </c>
      <c r="C8" s="49" t="e">
        <f>#REF!</f>
        <v>#REF!</v>
      </c>
      <c r="D8" s="49" t="e">
        <f>#REF!</f>
        <v>#REF!</v>
      </c>
      <c r="E8" s="49" t="e">
        <f>#REF!</f>
        <v>#REF!</v>
      </c>
      <c r="F8" s="49" t="e">
        <f>#REF!</f>
        <v>#REF!</v>
      </c>
      <c r="N8" s="44" t="s">
        <v>687</v>
      </c>
      <c r="O8" s="44"/>
      <c r="P8" s="44"/>
      <c r="Q8" s="44"/>
      <c r="R8" s="44"/>
      <c r="S8" s="122">
        <v>0.3</v>
      </c>
      <c r="T8" s="124">
        <f t="shared" si="0"/>
        <v>-1.5000000000000001E-2</v>
      </c>
      <c r="U8" s="44"/>
      <c r="V8" s="44"/>
      <c r="W8" s="44"/>
      <c r="X8" s="44"/>
      <c r="Y8" s="44"/>
      <c r="Z8" s="44"/>
      <c r="AA8" s="44"/>
      <c r="AB8" s="44"/>
      <c r="AC8" s="44"/>
    </row>
    <row r="9" spans="2:29" x14ac:dyDescent="0.3">
      <c r="B9" s="46" t="s">
        <v>576</v>
      </c>
      <c r="C9" s="49" t="e">
        <f>Operating_Exp!#REF!</f>
        <v>#REF!</v>
      </c>
      <c r="D9" s="49" t="e">
        <f>Operating_Exp!#REF!</f>
        <v>#REF!</v>
      </c>
      <c r="E9" s="49" t="e">
        <f>Operating_Exp!#REF!</f>
        <v>#REF!</v>
      </c>
      <c r="F9" s="49" t="e">
        <f>Operating_Exp!#REF!</f>
        <v>#REF!</v>
      </c>
      <c r="N9" s="44"/>
      <c r="O9" s="44"/>
      <c r="P9" s="44"/>
      <c r="Q9" s="44"/>
      <c r="R9" s="44"/>
      <c r="S9" s="122">
        <v>0.35</v>
      </c>
      <c r="T9" s="124">
        <f t="shared" si="0"/>
        <v>-1.7500000000000002E-2</v>
      </c>
      <c r="U9" s="44"/>
      <c r="V9" s="44"/>
      <c r="W9" s="44"/>
      <c r="X9" s="44"/>
      <c r="Y9" s="44"/>
      <c r="Z9" s="44"/>
      <c r="AA9" s="44"/>
      <c r="AB9" s="44"/>
      <c r="AC9" s="44"/>
    </row>
    <row r="10" spans="2:29" x14ac:dyDescent="0.3">
      <c r="B10" s="129" t="s">
        <v>8</v>
      </c>
      <c r="C10" s="130" t="e">
        <f>SUM(C6:C9)</f>
        <v>#REF!</v>
      </c>
      <c r="D10" s="130" t="e">
        <f>SUM(D6:D9)</f>
        <v>#REF!</v>
      </c>
      <c r="E10" s="130" t="e">
        <f>SUM(E6:E9)</f>
        <v>#REF!</v>
      </c>
      <c r="F10" s="130" t="e">
        <f>SUM(F6:F9)</f>
        <v>#REF!</v>
      </c>
      <c r="N10" s="44"/>
      <c r="O10" s="44"/>
      <c r="P10" s="44"/>
      <c r="Q10" s="44"/>
      <c r="R10" s="44"/>
      <c r="S10" s="122">
        <v>0.4</v>
      </c>
      <c r="T10" s="125">
        <f>T9-0.5%</f>
        <v>-2.2500000000000003E-2</v>
      </c>
      <c r="U10" s="44"/>
      <c r="V10" s="44"/>
      <c r="W10" s="44"/>
      <c r="X10" s="44"/>
      <c r="Y10" s="44"/>
      <c r="Z10" s="44"/>
      <c r="AA10" s="44"/>
      <c r="AB10" s="44"/>
      <c r="AC10" s="44"/>
    </row>
    <row r="11" spans="2:29" x14ac:dyDescent="0.3">
      <c r="B11" s="132" t="s">
        <v>680</v>
      </c>
      <c r="C11" s="130" t="e">
        <f>(C18*1.075)+C19</f>
        <v>#REF!</v>
      </c>
      <c r="D11" s="130" t="e">
        <f t="shared" ref="D11:F11" si="1">(D18*1.075)+D19</f>
        <v>#REF!</v>
      </c>
      <c r="E11" s="130" t="e">
        <f t="shared" si="1"/>
        <v>#REF!</v>
      </c>
      <c r="F11" s="130" t="e">
        <f t="shared" si="1"/>
        <v>#REF!</v>
      </c>
      <c r="N11" s="44"/>
      <c r="O11" s="44"/>
      <c r="P11" s="44"/>
      <c r="Q11" s="44"/>
      <c r="R11" s="44"/>
      <c r="S11" s="122"/>
      <c r="T11" s="125"/>
      <c r="U11" s="44"/>
      <c r="V11" s="44"/>
      <c r="W11" s="44"/>
      <c r="X11" s="44"/>
      <c r="Y11" s="44"/>
      <c r="Z11" s="44"/>
      <c r="AA11" s="44"/>
      <c r="AB11" s="44"/>
      <c r="AC11" s="44"/>
    </row>
    <row r="12" spans="2:29" x14ac:dyDescent="0.3">
      <c r="B12" s="132" t="s">
        <v>681</v>
      </c>
      <c r="C12" s="130" t="e">
        <f>(C18*0.925)+C19</f>
        <v>#REF!</v>
      </c>
      <c r="D12" s="130" t="e">
        <f t="shared" ref="D12:F12" si="2">(D18*0.925)+D19</f>
        <v>#REF!</v>
      </c>
      <c r="E12" s="130" t="e">
        <f t="shared" si="2"/>
        <v>#REF!</v>
      </c>
      <c r="F12" s="130" t="e">
        <f t="shared" si="2"/>
        <v>#REF!</v>
      </c>
      <c r="N12" s="44"/>
      <c r="O12" s="44"/>
      <c r="P12" s="44"/>
      <c r="Q12" s="44"/>
      <c r="R12" s="44"/>
      <c r="S12" s="122"/>
      <c r="T12" s="125"/>
      <c r="U12" s="44"/>
      <c r="V12" s="44"/>
      <c r="W12" s="44"/>
      <c r="X12" s="44"/>
      <c r="Y12" s="44"/>
      <c r="Z12" s="44"/>
      <c r="AA12" s="44"/>
      <c r="AB12" s="44"/>
      <c r="AC12" s="44"/>
    </row>
    <row r="13" spans="2:29" x14ac:dyDescent="0.3">
      <c r="C13" s="51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2:29" x14ac:dyDescent="0.3">
      <c r="B14" s="187" t="s">
        <v>661</v>
      </c>
      <c r="C14" s="120" t="e">
        <f>C10/C3</f>
        <v>#REF!</v>
      </c>
      <c r="D14" s="120" t="e">
        <f>D10/D3</f>
        <v>#REF!</v>
      </c>
      <c r="E14" s="120" t="e">
        <f>E10/E3</f>
        <v>#REF!</v>
      </c>
      <c r="F14" s="120" t="e">
        <f>F10/F3</f>
        <v>#REF!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2:29" x14ac:dyDescent="0.3">
      <c r="B15" s="188"/>
      <c r="C15" s="119" t="e">
        <f>C14/ex_usd</f>
        <v>#REF!</v>
      </c>
      <c r="D15" s="119" t="e">
        <f>D14/ex_usd</f>
        <v>#REF!</v>
      </c>
      <c r="E15" s="119" t="e">
        <f>E14/ex_usd</f>
        <v>#REF!</v>
      </c>
      <c r="F15" s="119" t="e">
        <f>F14/ex_usd</f>
        <v>#REF!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2:29" x14ac:dyDescent="0.3">
      <c r="B16" s="116"/>
      <c r="C16" s="50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2:29" x14ac:dyDescent="0.3">
      <c r="B17" s="129" t="s">
        <v>667</v>
      </c>
      <c r="C17" s="131" t="s">
        <v>578</v>
      </c>
      <c r="D17" s="131" t="s">
        <v>578</v>
      </c>
      <c r="E17" s="131" t="s">
        <v>578</v>
      </c>
      <c r="F17" s="131" t="s">
        <v>578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2:29" x14ac:dyDescent="0.3">
      <c r="B18" s="46" t="s">
        <v>663</v>
      </c>
      <c r="C18" s="49" t="e">
        <f>C7+C8+Operating_Exp!#REF!</f>
        <v>#REF!</v>
      </c>
      <c r="D18" s="49" t="e">
        <f>D7+D8+Operating_Exp!#REF!</f>
        <v>#REF!</v>
      </c>
      <c r="E18" s="49" t="e">
        <f>E7+E8+Operating_Exp!#REF!</f>
        <v>#REF!</v>
      </c>
      <c r="F18" s="49" t="e">
        <f>F7+F8+Operating_Exp!#REF!</f>
        <v>#REF!</v>
      </c>
    </row>
    <row r="19" spans="2:29" x14ac:dyDescent="0.3">
      <c r="B19" s="46" t="s">
        <v>662</v>
      </c>
      <c r="C19" s="49">
        <f>C6+Operating_Exp!$D$12</f>
        <v>279098</v>
      </c>
      <c r="D19" s="49">
        <f>D6+Operating_Exp!$D$12</f>
        <v>279098</v>
      </c>
      <c r="E19" s="49">
        <f>E6+Operating_Exp!$D$12</f>
        <v>279098</v>
      </c>
      <c r="F19" s="49">
        <f>F6+Operating_Exp!$D$12</f>
        <v>279098</v>
      </c>
    </row>
    <row r="20" spans="2:29" x14ac:dyDescent="0.3">
      <c r="B20" s="129" t="s">
        <v>160</v>
      </c>
      <c r="C20" s="132" t="e">
        <f>SUM(C18:C19)</f>
        <v>#REF!</v>
      </c>
      <c r="D20" s="132" t="e">
        <f t="shared" ref="D20:F20" si="3">SUM(D18:D19)</f>
        <v>#REF!</v>
      </c>
      <c r="E20" s="132" t="e">
        <f t="shared" si="3"/>
        <v>#REF!</v>
      </c>
      <c r="F20" s="132" t="e">
        <f t="shared" si="3"/>
        <v>#REF!</v>
      </c>
    </row>
    <row r="21" spans="2:29" s="61" customFormat="1" ht="15" x14ac:dyDescent="0.25"/>
    <row r="22" spans="2:29" s="61" customFormat="1" x14ac:dyDescent="0.25">
      <c r="B22" s="129" t="s">
        <v>666</v>
      </c>
      <c r="C22" s="131" t="s">
        <v>578</v>
      </c>
      <c r="D22" s="131" t="s">
        <v>578</v>
      </c>
      <c r="E22" s="131" t="s">
        <v>578</v>
      </c>
      <c r="F22" s="131" t="s">
        <v>578</v>
      </c>
    </row>
    <row r="23" spans="2:29" s="61" customFormat="1" x14ac:dyDescent="0.3">
      <c r="B23" s="49" t="s">
        <v>670</v>
      </c>
      <c r="C23" s="49" t="e">
        <f>C18/C3</f>
        <v>#REF!</v>
      </c>
      <c r="D23" s="49" t="e">
        <f>D18/D3</f>
        <v>#REF!</v>
      </c>
      <c r="E23" s="49" t="e">
        <f>E18/E3</f>
        <v>#REF!</v>
      </c>
      <c r="F23" s="49" t="e">
        <f>F18/F3</f>
        <v>#REF!</v>
      </c>
      <c r="H23" s="81"/>
      <c r="I23" s="81"/>
      <c r="J23" s="81"/>
      <c r="K23" s="81"/>
    </row>
    <row r="24" spans="2:29" s="61" customFormat="1" x14ac:dyDescent="0.3">
      <c r="B24" s="49" t="s">
        <v>671</v>
      </c>
      <c r="C24" s="49" t="e">
        <f>C19/C3</f>
        <v>#REF!</v>
      </c>
      <c r="D24" s="49" t="e">
        <f t="shared" ref="D24:F24" si="4">D19/D3</f>
        <v>#REF!</v>
      </c>
      <c r="E24" s="49" t="e">
        <f t="shared" si="4"/>
        <v>#REF!</v>
      </c>
      <c r="F24" s="49" t="e">
        <f t="shared" si="4"/>
        <v>#REF!</v>
      </c>
      <c r="H24" s="86"/>
      <c r="I24" s="86"/>
      <c r="J24" s="86"/>
      <c r="K24" s="86"/>
    </row>
    <row r="25" spans="2:29" s="61" customFormat="1" x14ac:dyDescent="0.25">
      <c r="B25" s="185" t="s">
        <v>672</v>
      </c>
      <c r="C25" s="158" t="e">
        <f>C20/C3</f>
        <v>#REF!</v>
      </c>
      <c r="D25" s="158" t="e">
        <f t="shared" ref="D25:F25" si="5">D20/D3</f>
        <v>#REF!</v>
      </c>
      <c r="E25" s="158" t="e">
        <f t="shared" si="5"/>
        <v>#REF!</v>
      </c>
      <c r="F25" s="158" t="e">
        <f t="shared" si="5"/>
        <v>#REF!</v>
      </c>
    </row>
    <row r="26" spans="2:29" s="61" customFormat="1" x14ac:dyDescent="0.25">
      <c r="B26" s="186"/>
      <c r="C26" s="159" t="e">
        <f>C25/ex_usd</f>
        <v>#REF!</v>
      </c>
      <c r="D26" s="159" t="e">
        <f>D25/ex_usd</f>
        <v>#REF!</v>
      </c>
      <c r="E26" s="159" t="e">
        <f>E25/ex_usd</f>
        <v>#REF!</v>
      </c>
      <c r="F26" s="159" t="e">
        <f>F25/ex_usd</f>
        <v>#REF!</v>
      </c>
    </row>
    <row r="27" spans="2:29" s="61" customFormat="1" ht="15" x14ac:dyDescent="0.25"/>
    <row r="28" spans="2:29" x14ac:dyDescent="0.3">
      <c r="B28" s="129" t="s">
        <v>664</v>
      </c>
      <c r="C28" s="160" t="e">
        <f>#REF!</f>
        <v>#REF!</v>
      </c>
      <c r="D28" s="160" t="e">
        <f>#REF!</f>
        <v>#REF!</v>
      </c>
      <c r="E28" s="160" t="e">
        <f>#REF!</f>
        <v>#REF!</v>
      </c>
      <c r="F28" s="160" t="e">
        <f>#REF!</f>
        <v>#REF!</v>
      </c>
    </row>
    <row r="29" spans="2:29" x14ac:dyDescent="0.3">
      <c r="B29" s="129" t="s">
        <v>668</v>
      </c>
      <c r="C29" s="132" t="e">
        <f>#REF!-Basic_demo!HFN</f>
        <v>#REF!</v>
      </c>
      <c r="D29" s="132" t="e">
        <f>#REF!-Basic_demo!HFN</f>
        <v>#REF!</v>
      </c>
      <c r="E29" s="132" t="e">
        <f>#REF!-Basic_demo!HFN</f>
        <v>#REF!</v>
      </c>
      <c r="F29" s="132" t="e">
        <f>#REF!-Basic_demo!HFN</f>
        <v>#REF!</v>
      </c>
    </row>
    <row r="31" spans="2:29" x14ac:dyDescent="0.3">
      <c r="B31" s="189" t="s">
        <v>865</v>
      </c>
      <c r="C31" s="190"/>
      <c r="D31" s="190"/>
      <c r="E31" s="190"/>
      <c r="F31" s="190"/>
    </row>
    <row r="33" spans="2:10" x14ac:dyDescent="0.3">
      <c r="B33" s="191" t="s">
        <v>682</v>
      </c>
      <c r="C33" s="192"/>
      <c r="D33" s="193"/>
      <c r="E33" s="161">
        <v>0.05</v>
      </c>
      <c r="F33" s="118">
        <f>VLOOKUP(perc_increase,S4:T10,2,FALSE)</f>
        <v>-5.0000000000000001E-3</v>
      </c>
    </row>
    <row r="34" spans="2:10" x14ac:dyDescent="0.3">
      <c r="B34" s="194" t="s">
        <v>683</v>
      </c>
      <c r="C34" s="195"/>
      <c r="D34" s="162" t="s">
        <v>687</v>
      </c>
      <c r="E34" s="161">
        <v>0</v>
      </c>
      <c r="F34" s="118"/>
    </row>
    <row r="35" spans="2:10" x14ac:dyDescent="0.3">
      <c r="B35" s="194" t="s">
        <v>684</v>
      </c>
      <c r="C35" s="195"/>
      <c r="D35" s="162" t="s">
        <v>687</v>
      </c>
      <c r="E35" s="161">
        <v>0</v>
      </c>
      <c r="F35" s="118"/>
    </row>
    <row r="36" spans="2:10" s="61" customFormat="1" ht="15" x14ac:dyDescent="0.25"/>
    <row r="37" spans="2:10" s="61" customFormat="1" x14ac:dyDescent="0.3">
      <c r="B37" s="189" t="s">
        <v>669</v>
      </c>
      <c r="C37" s="190"/>
      <c r="D37" s="190"/>
      <c r="E37" s="190"/>
      <c r="F37" s="190"/>
      <c r="J37" s="42"/>
    </row>
    <row r="38" spans="2:10" x14ac:dyDescent="0.3">
      <c r="B38" s="129" t="s">
        <v>594</v>
      </c>
      <c r="C38" s="130" t="e">
        <f>pop_1</f>
        <v>#REF!</v>
      </c>
      <c r="D38" s="130" t="e">
        <f>pop_2</f>
        <v>#REF!</v>
      </c>
      <c r="E38" s="130" t="e">
        <f>pop_3</f>
        <v>#REF!</v>
      </c>
      <c r="F38" s="130" t="e">
        <f>Pop_4</f>
        <v>#REF!</v>
      </c>
    </row>
    <row r="39" spans="2:10" x14ac:dyDescent="0.3">
      <c r="B39" s="43"/>
      <c r="D39" s="109"/>
    </row>
    <row r="40" spans="2:10" x14ac:dyDescent="0.3">
      <c r="B40" s="129" t="str">
        <f t="shared" ref="B40:F40" si="6">B5</f>
        <v>Expenditure Category</v>
      </c>
      <c r="C40" s="131" t="str">
        <f t="shared" si="6"/>
        <v>PKR</v>
      </c>
      <c r="D40" s="131" t="str">
        <f t="shared" si="6"/>
        <v>PKR</v>
      </c>
      <c r="E40" s="131" t="str">
        <f t="shared" si="6"/>
        <v>PKR</v>
      </c>
      <c r="F40" s="131" t="str">
        <f t="shared" si="6"/>
        <v>PKR</v>
      </c>
    </row>
    <row r="41" spans="2:10" x14ac:dyDescent="0.3">
      <c r="B41" s="46" t="str">
        <f>B6</f>
        <v>Salaries</v>
      </c>
      <c r="C41" s="49">
        <f>IF($D$34="Decrease",(C6*(1-$E$34)),(C6*(1+$E$34)))</f>
        <v>263748</v>
      </c>
      <c r="D41" s="49">
        <f t="shared" ref="D41:F41" si="7">IF($D$34="Decrease",(D6*(1-$E$34)),(D6*(1+$E$34)))</f>
        <v>263748</v>
      </c>
      <c r="E41" s="49">
        <f t="shared" si="7"/>
        <v>263748</v>
      </c>
      <c r="F41" s="49">
        <f t="shared" si="7"/>
        <v>263748</v>
      </c>
    </row>
    <row r="42" spans="2:10" x14ac:dyDescent="0.3">
      <c r="B42" s="46" t="str">
        <f>B7</f>
        <v>Medicines and Supplies</v>
      </c>
      <c r="C42" s="49" t="e">
        <f>#REF!*(1+eco_scale)</f>
        <v>#REF!</v>
      </c>
      <c r="D42" s="49" t="e">
        <f>#REF!*(1+eco_scale)</f>
        <v>#REF!</v>
      </c>
      <c r="E42" s="49" t="e">
        <f>#REF!*(1+eco_scale)</f>
        <v>#REF!</v>
      </c>
      <c r="F42" s="49" t="e">
        <f>#REF!*(1+eco_scale)</f>
        <v>#REF!</v>
      </c>
    </row>
    <row r="43" spans="2:10" x14ac:dyDescent="0.3">
      <c r="B43" s="46" t="str">
        <f>B8</f>
        <v>Immunisation</v>
      </c>
      <c r="C43" s="49" t="e">
        <f>#REF!*(1+eco_scale)</f>
        <v>#REF!</v>
      </c>
      <c r="D43" s="49" t="e">
        <f>#REF!*(1+eco_scale)</f>
        <v>#REF!</v>
      </c>
      <c r="E43" s="49" t="e">
        <f>#REF!*(1+eco_scale)</f>
        <v>#REF!</v>
      </c>
      <c r="F43" s="49" t="e">
        <f>#REF!*(1+eco_scale)</f>
        <v>#REF!</v>
      </c>
    </row>
    <row r="44" spans="2:10" x14ac:dyDescent="0.3">
      <c r="B44" s="46" t="str">
        <f>B9</f>
        <v>Operating Expenditure</v>
      </c>
      <c r="C44" s="49" t="e">
        <f>IF($D$35="Decrease",(Operating_Exp!$D$12*(1-BHU_Cost!$E$35)+Operating_Exp!#REF!),(Operating_Exp!$D$12*(1+BHU_Cost!$E$35)+Operating_Exp!#REF!))</f>
        <v>#REF!</v>
      </c>
      <c r="D44" s="49" t="e">
        <f>IF($D$35="Decrease",(Operating_Exp!$D$12*(1-BHU_Cost!$E$35)+Operating_Exp!#REF!),(Operating_Exp!$D$12*(1+BHU_Cost!$E$35)+Operating_Exp!#REF!))</f>
        <v>#REF!</v>
      </c>
      <c r="E44" s="49" t="e">
        <f>IF($D$35="Decrease",(Operating_Exp!$D$12*(1-BHU_Cost!$E$35)+Operating_Exp!#REF!),(Operating_Exp!$D$12*(1+BHU_Cost!$E$35)+Operating_Exp!#REF!))</f>
        <v>#REF!</v>
      </c>
      <c r="F44" s="49" t="e">
        <f>IF($D$35="Decrease",(Operating_Exp!$D$12*(1-BHU_Cost!$E$35)+Operating_Exp!#REF!),(Operating_Exp!$D$12*(1+BHU_Cost!$E$35)+Operating_Exp!#REF!))</f>
        <v>#REF!</v>
      </c>
    </row>
    <row r="45" spans="2:10" x14ac:dyDescent="0.3">
      <c r="B45" s="129" t="str">
        <f>B10</f>
        <v>Total</v>
      </c>
      <c r="C45" s="130" t="e">
        <f>SUM(C41:C44)</f>
        <v>#REF!</v>
      </c>
      <c r="D45" s="130" t="e">
        <f t="shared" ref="D45:F45" si="8">SUM(D41:D44)</f>
        <v>#REF!</v>
      </c>
      <c r="E45" s="130" t="e">
        <f t="shared" si="8"/>
        <v>#REF!</v>
      </c>
      <c r="F45" s="130" t="e">
        <f t="shared" si="8"/>
        <v>#REF!</v>
      </c>
    </row>
    <row r="46" spans="2:10" x14ac:dyDescent="0.3">
      <c r="B46" s="132" t="s">
        <v>680</v>
      </c>
      <c r="C46" s="130" t="e">
        <f>(C50*1.075)+C51</f>
        <v>#REF!</v>
      </c>
      <c r="D46" s="130" t="e">
        <f t="shared" ref="D46:F46" si="9">(D50*1.075)+D51</f>
        <v>#REF!</v>
      </c>
      <c r="E46" s="130" t="e">
        <f t="shared" si="9"/>
        <v>#REF!</v>
      </c>
      <c r="F46" s="130" t="e">
        <f t="shared" si="9"/>
        <v>#REF!</v>
      </c>
    </row>
    <row r="47" spans="2:10" x14ac:dyDescent="0.3">
      <c r="B47" s="132" t="s">
        <v>681</v>
      </c>
      <c r="C47" s="130" t="e">
        <f>(C50*0.925)+C51</f>
        <v>#REF!</v>
      </c>
      <c r="D47" s="130" t="e">
        <f t="shared" ref="D47:F47" si="10">(D50*0.925)+D51</f>
        <v>#REF!</v>
      </c>
      <c r="E47" s="130" t="e">
        <f t="shared" si="10"/>
        <v>#REF!</v>
      </c>
      <c r="F47" s="130" t="e">
        <f t="shared" si="10"/>
        <v>#REF!</v>
      </c>
    </row>
    <row r="49" spans="2:21" x14ac:dyDescent="0.3">
      <c r="B49" s="129" t="s">
        <v>667</v>
      </c>
      <c r="C49" s="131" t="s">
        <v>578</v>
      </c>
      <c r="D49" s="131" t="s">
        <v>578</v>
      </c>
      <c r="E49" s="131" t="s">
        <v>578</v>
      </c>
      <c r="F49" s="131" t="s">
        <v>578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3">
      <c r="B50" s="46" t="s">
        <v>663</v>
      </c>
      <c r="C50" s="49" t="e">
        <f>SUM(C42:C43,Operating_Exp!#REF!)</f>
        <v>#REF!</v>
      </c>
      <c r="D50" s="49" t="e">
        <f>SUM(D42:D43,Operating_Exp!#REF!)</f>
        <v>#REF!</v>
      </c>
      <c r="E50" s="49" t="e">
        <f>SUM(E42:E43,Operating_Exp!#REF!)</f>
        <v>#REF!</v>
      </c>
      <c r="F50" s="49" t="e">
        <f>SUM(F42:F43,Operating_Exp!#REF!)</f>
        <v>#REF!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3">
      <c r="B51" s="46" t="s">
        <v>662</v>
      </c>
      <c r="C51" s="49">
        <f>C41+Operating_Exp!$D$12</f>
        <v>279098</v>
      </c>
      <c r="D51" s="49">
        <f>D41+Operating_Exp!$D$12</f>
        <v>279098</v>
      </c>
      <c r="E51" s="49">
        <f>E41+Operating_Exp!$D$12</f>
        <v>279098</v>
      </c>
      <c r="F51" s="49">
        <f>F41+Operating_Exp!$D$12</f>
        <v>279098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3">
      <c r="B52" s="129" t="s">
        <v>160</v>
      </c>
      <c r="C52" s="132" t="e">
        <f>SUM(C50:C51)</f>
        <v>#REF!</v>
      </c>
      <c r="D52" s="132" t="e">
        <f t="shared" ref="D52" si="11">SUM(D50:D51)</f>
        <v>#REF!</v>
      </c>
      <c r="E52" s="132" t="e">
        <f t="shared" ref="E52" si="12">SUM(E50:E51)</f>
        <v>#REF!</v>
      </c>
      <c r="F52" s="132" t="e">
        <f t="shared" ref="F52" si="13">SUM(F50:F51)</f>
        <v>#REF!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3"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3">
      <c r="B54" s="129" t="s">
        <v>666</v>
      </c>
      <c r="C54" s="131" t="s">
        <v>578</v>
      </c>
      <c r="D54" s="131" t="s">
        <v>578</v>
      </c>
      <c r="E54" s="131" t="s">
        <v>578</v>
      </c>
      <c r="F54" s="131" t="s">
        <v>578</v>
      </c>
      <c r="H54" s="44" t="s">
        <v>688</v>
      </c>
      <c r="I54" s="127"/>
      <c r="J54" s="128" t="e">
        <f>C26</f>
        <v>#REF!</v>
      </c>
      <c r="K54" s="128" t="e">
        <f>D26</f>
        <v>#REF!</v>
      </c>
      <c r="L54" s="128" t="e">
        <f>E26</f>
        <v>#REF!</v>
      </c>
      <c r="M54" s="128" t="e">
        <f>F26</f>
        <v>#REF!</v>
      </c>
      <c r="N54" s="128" t="e">
        <f>#REF!</f>
        <v>#REF!</v>
      </c>
      <c r="O54" s="127" t="s">
        <v>691</v>
      </c>
      <c r="P54" s="44"/>
      <c r="Q54" s="44"/>
      <c r="R54" s="44"/>
      <c r="S54" s="44"/>
      <c r="T54" s="44"/>
      <c r="U54" s="44"/>
    </row>
    <row r="55" spans="2:21" x14ac:dyDescent="0.3">
      <c r="B55" s="49" t="s">
        <v>670</v>
      </c>
      <c r="C55" s="49" t="e">
        <f>C50/C38</f>
        <v>#REF!</v>
      </c>
      <c r="D55" s="49" t="e">
        <f>D50/D38</f>
        <v>#REF!</v>
      </c>
      <c r="E55" s="49" t="e">
        <f>E50/E38</f>
        <v>#REF!</v>
      </c>
      <c r="F55" s="49" t="e">
        <f>F50/F38</f>
        <v>#REF!</v>
      </c>
      <c r="H55" s="44" t="s">
        <v>689</v>
      </c>
      <c r="I55" s="127"/>
      <c r="J55" s="128" t="e">
        <f>C58</f>
        <v>#REF!</v>
      </c>
      <c r="K55" s="128" t="e">
        <f>D58</f>
        <v>#REF!</v>
      </c>
      <c r="L55" s="128" t="e">
        <f>E58</f>
        <v>#REF!</v>
      </c>
      <c r="M55" s="128" t="e">
        <f>F58</f>
        <v>#REF!</v>
      </c>
      <c r="N55" s="128" t="e">
        <f>#REF!</f>
        <v>#REF!</v>
      </c>
      <c r="O55" s="127" t="s">
        <v>690</v>
      </c>
      <c r="P55" s="44"/>
      <c r="Q55" s="44"/>
      <c r="R55" s="44"/>
      <c r="S55" s="44"/>
      <c r="T55" s="44"/>
      <c r="U55" s="44"/>
    </row>
    <row r="56" spans="2:21" x14ac:dyDescent="0.3">
      <c r="B56" s="49" t="s">
        <v>671</v>
      </c>
      <c r="C56" s="49" t="e">
        <f>C51/C38</f>
        <v>#REF!</v>
      </c>
      <c r="D56" s="49" t="e">
        <f>D51/D38</f>
        <v>#REF!</v>
      </c>
      <c r="E56" s="49" t="e">
        <f>E51/E38</f>
        <v>#REF!</v>
      </c>
      <c r="F56" s="49" t="e">
        <f>F51/F38</f>
        <v>#REF!</v>
      </c>
      <c r="H56" s="44"/>
      <c r="I56" s="44"/>
      <c r="J56" s="122" t="e">
        <f>C28</f>
        <v>#REF!</v>
      </c>
      <c r="K56" s="122" t="e">
        <f>D28</f>
        <v>#REF!</v>
      </c>
      <c r="L56" s="122" t="e">
        <f>E28</f>
        <v>#REF!</v>
      </c>
      <c r="M56" s="122" t="e">
        <f>F28</f>
        <v>#REF!</v>
      </c>
      <c r="N56" s="122" t="e">
        <f>#REF!</f>
        <v>#REF!</v>
      </c>
      <c r="O56" s="44" t="s">
        <v>692</v>
      </c>
      <c r="P56" s="44"/>
      <c r="Q56" s="44"/>
      <c r="R56" s="44"/>
      <c r="S56" s="44"/>
      <c r="T56" s="44"/>
      <c r="U56" s="44"/>
    </row>
    <row r="57" spans="2:21" x14ac:dyDescent="0.3">
      <c r="B57" s="185" t="s">
        <v>672</v>
      </c>
      <c r="C57" s="158" t="e">
        <f>C45/C38</f>
        <v>#REF!</v>
      </c>
      <c r="D57" s="158" t="e">
        <f>D45/D38</f>
        <v>#REF!</v>
      </c>
      <c r="E57" s="158" t="e">
        <f>E45/E38</f>
        <v>#REF!</v>
      </c>
      <c r="F57" s="158" t="e">
        <f>F45/F38</f>
        <v>#REF!</v>
      </c>
      <c r="H57" s="44"/>
      <c r="I57" s="44"/>
      <c r="J57" s="122" t="e">
        <f>C60</f>
        <v>#REF!</v>
      </c>
      <c r="K57" s="122" t="e">
        <f>D60</f>
        <v>#REF!</v>
      </c>
      <c r="L57" s="122" t="e">
        <f>E60</f>
        <v>#REF!</v>
      </c>
      <c r="M57" s="122" t="e">
        <f>F60</f>
        <v>#REF!</v>
      </c>
      <c r="N57" s="122" t="e">
        <f>#REF!</f>
        <v>#REF!</v>
      </c>
      <c r="O57" s="44" t="s">
        <v>693</v>
      </c>
      <c r="P57" s="44"/>
      <c r="Q57" s="44"/>
      <c r="R57" s="44"/>
      <c r="S57" s="44"/>
      <c r="T57" s="44"/>
      <c r="U57" s="44"/>
    </row>
    <row r="58" spans="2:21" x14ac:dyDescent="0.3">
      <c r="B58" s="186"/>
      <c r="C58" s="159" t="e">
        <f>C57/ex_usd</f>
        <v>#REF!</v>
      </c>
      <c r="D58" s="159" t="e">
        <f>D57/ex_usd</f>
        <v>#REF!</v>
      </c>
      <c r="E58" s="159" t="e">
        <f>E57/ex_usd</f>
        <v>#REF!</v>
      </c>
      <c r="F58" s="159" t="e">
        <f>F57/ex_usd</f>
        <v>#REF!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60" spans="2:21" x14ac:dyDescent="0.3">
      <c r="B60" s="129" t="str">
        <f>B28</f>
        <v>Capacity Utilisation</v>
      </c>
      <c r="C60" s="160" t="e">
        <f>#REF!</f>
        <v>#REF!</v>
      </c>
      <c r="D60" s="160" t="e">
        <f>#REF!</f>
        <v>#REF!</v>
      </c>
      <c r="E60" s="160" t="e">
        <f>#REF!</f>
        <v>#REF!</v>
      </c>
      <c r="F60" s="160" t="e">
        <f>#REF!</f>
        <v>#REF!</v>
      </c>
    </row>
    <row r="61" spans="2:21" hidden="1" x14ac:dyDescent="0.3">
      <c r="C61" s="51" t="e">
        <f>#REF!</f>
        <v>#REF!</v>
      </c>
      <c r="D61" s="51" t="e">
        <f>#REF!</f>
        <v>#REF!</v>
      </c>
      <c r="E61" s="51" t="e">
        <f>#REF!</f>
        <v>#REF!</v>
      </c>
      <c r="F61" s="51" t="e">
        <f>#REF!</f>
        <v>#REF!</v>
      </c>
    </row>
    <row r="62" spans="2:21" hidden="1" x14ac:dyDescent="0.3">
      <c r="C62" s="115" t="e">
        <f>C61/C38</f>
        <v>#REF!</v>
      </c>
      <c r="D62" s="115" t="e">
        <f>D61/D38</f>
        <v>#REF!</v>
      </c>
      <c r="E62" s="115" t="e">
        <f>E61/E38</f>
        <v>#REF!</v>
      </c>
      <c r="F62" s="115" t="e">
        <f>F61/F38</f>
        <v>#REF!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57:B58"/>
    <mergeCell ref="B14:B15"/>
    <mergeCell ref="B2:F2"/>
    <mergeCell ref="B33:D33"/>
    <mergeCell ref="B37:F37"/>
    <mergeCell ref="B25:B26"/>
    <mergeCell ref="B34:C34"/>
    <mergeCell ref="B35:C35"/>
    <mergeCell ref="B31:F31"/>
  </mergeCells>
  <dataValidations count="6">
    <dataValidation type="list" allowBlank="1" showInputMessage="1" showErrorMessage="1" sqref="D39">
      <formula1>$S$5:$S$8</formula1>
    </dataValidation>
    <dataValidation type="list" allowBlank="1" showInputMessage="1" showErrorMessage="1" sqref="E36">
      <formula1>$S$4:$S$10</formula1>
    </dataValidation>
    <dataValidation type="list" allowBlank="1" showInputMessage="1" showErrorMessage="1" promptTitle="Coverage" prompt="Select increase in coverage" sqref="E33">
      <formula1>$S$4:$S$10</formula1>
    </dataValidation>
    <dataValidation allowBlank="1" showInputMessage="1" showErrorMessage="1" promptTitle="Salaries" prompt="Enter (%) change in salaries" sqref="E34"/>
    <dataValidation allowBlank="1" showInputMessage="1" showErrorMessage="1" promptTitle="Operational Cost" prompt="Enter (%) change  in operational cost" sqref="E35"/>
    <dataValidation type="list" allowBlank="1" showInputMessage="1" showErrorMessage="1" promptTitle="Salaries" prompt="Select appropriate option" sqref="D34:D35">
      <formula1>$N$6:$N$8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9"/>
  <sheetViews>
    <sheetView showGridLines="0" topLeftCell="B1" zoomScaleNormal="100" workbookViewId="0">
      <selection activeCell="N13" sqref="N13"/>
    </sheetView>
  </sheetViews>
  <sheetFormatPr defaultRowHeight="15" x14ac:dyDescent="0.25"/>
  <cols>
    <col min="1" max="1" width="22.85546875" style="61" hidden="1" customWidth="1"/>
    <col min="2" max="2" width="3.42578125" style="61" customWidth="1"/>
    <col min="3" max="3" width="36.5703125" style="61" bestFit="1" customWidth="1"/>
    <col min="4" max="4" width="11.28515625" style="61" bestFit="1" customWidth="1"/>
    <col min="5" max="5" width="8.42578125" style="61" customWidth="1"/>
    <col min="6" max="6" width="9.42578125" style="61" bestFit="1" customWidth="1"/>
    <col min="7" max="7" width="10.85546875" style="61" customWidth="1"/>
    <col min="8" max="8" width="0" style="61" hidden="1" customWidth="1"/>
    <col min="9" max="16384" width="9.140625" style="61"/>
  </cols>
  <sheetData>
    <row r="3" spans="1:8" ht="15" customHeight="1" x14ac:dyDescent="0.25">
      <c r="C3" s="222" t="s">
        <v>23</v>
      </c>
      <c r="D3" s="223"/>
      <c r="E3" s="224"/>
      <c r="F3" s="225"/>
      <c r="G3" s="225"/>
    </row>
    <row r="4" spans="1:8" ht="30" x14ac:dyDescent="0.25">
      <c r="C4" s="222"/>
      <c r="D4" s="164" t="s">
        <v>869</v>
      </c>
      <c r="E4" s="164" t="s">
        <v>571</v>
      </c>
      <c r="F4" s="164" t="s">
        <v>246</v>
      </c>
      <c r="G4" s="164" t="s">
        <v>571</v>
      </c>
    </row>
    <row r="5" spans="1:8" x14ac:dyDescent="0.25">
      <c r="C5" s="65" t="s">
        <v>253</v>
      </c>
      <c r="D5" s="65">
        <v>80</v>
      </c>
      <c r="E5" s="169">
        <f t="shared" ref="E5:E16" si="0">SUM(D5:D5)</f>
        <v>80</v>
      </c>
      <c r="F5" s="82">
        <f>D5*Staff_cost!$I$5</f>
        <v>383.78</v>
      </c>
      <c r="G5" s="165">
        <f t="shared" ref="G5:G16" si="1">SUM(F5:F5)</f>
        <v>383.78</v>
      </c>
      <c r="H5" s="81" t="str">
        <f t="shared" ref="H5:H25" si="2">C5</f>
        <v>Antenatal Care (4 visits package)</v>
      </c>
    </row>
    <row r="6" spans="1:8" x14ac:dyDescent="0.25">
      <c r="C6" s="65" t="s">
        <v>254</v>
      </c>
      <c r="D6" s="65">
        <v>45</v>
      </c>
      <c r="E6" s="169">
        <f t="shared" si="0"/>
        <v>45</v>
      </c>
      <c r="F6" s="82">
        <f>D6*Staff_cost!$I$5</f>
        <v>215.87625</v>
      </c>
      <c r="G6" s="165">
        <f t="shared" si="1"/>
        <v>215.87625</v>
      </c>
      <c r="H6" s="81" t="str">
        <f t="shared" si="2"/>
        <v>Postpartum Care (2 PNC visits)</v>
      </c>
    </row>
    <row r="7" spans="1:8" x14ac:dyDescent="0.25">
      <c r="A7" s="61" t="s">
        <v>260</v>
      </c>
      <c r="C7" s="65" t="s">
        <v>259</v>
      </c>
      <c r="D7" s="65">
        <v>15</v>
      </c>
      <c r="E7" s="169">
        <f t="shared" si="0"/>
        <v>15</v>
      </c>
      <c r="F7" s="82">
        <f>D7*Staff_cost!$I$5</f>
        <v>71.958749999999995</v>
      </c>
      <c r="G7" s="165">
        <f t="shared" si="1"/>
        <v>71.958749999999995</v>
      </c>
      <c r="H7" s="81" t="str">
        <f t="shared" si="2"/>
        <v>Child with cough</v>
      </c>
    </row>
    <row r="8" spans="1:8" x14ac:dyDescent="0.25">
      <c r="A8" s="61" t="s">
        <v>269</v>
      </c>
      <c r="C8" s="65" t="s">
        <v>272</v>
      </c>
      <c r="D8" s="65">
        <v>15</v>
      </c>
      <c r="E8" s="169">
        <f t="shared" si="0"/>
        <v>15</v>
      </c>
      <c r="F8" s="82">
        <f>D8*Staff_cost!$I$5</f>
        <v>71.958749999999995</v>
      </c>
      <c r="G8" s="165">
        <f t="shared" si="1"/>
        <v>71.958749999999995</v>
      </c>
      <c r="H8" s="81" t="str">
        <f t="shared" si="2"/>
        <v>Child with no dehydration</v>
      </c>
    </row>
    <row r="9" spans="1:8" x14ac:dyDescent="0.25">
      <c r="C9" s="65" t="s">
        <v>273</v>
      </c>
      <c r="D9" s="65">
        <v>15</v>
      </c>
      <c r="E9" s="169">
        <f t="shared" si="0"/>
        <v>15</v>
      </c>
      <c r="F9" s="82">
        <f>D9*Staff_cost!$I$5</f>
        <v>71.958749999999995</v>
      </c>
      <c r="G9" s="165">
        <f t="shared" si="1"/>
        <v>71.958749999999995</v>
      </c>
      <c r="H9" s="81" t="str">
        <f t="shared" si="2"/>
        <v>Child with some dehydration</v>
      </c>
    </row>
    <row r="10" spans="1:8" x14ac:dyDescent="0.25">
      <c r="C10" s="65" t="s">
        <v>274</v>
      </c>
      <c r="D10" s="65">
        <v>15</v>
      </c>
      <c r="E10" s="169">
        <f t="shared" si="0"/>
        <v>15</v>
      </c>
      <c r="F10" s="82">
        <f>D10*Staff_cost!$I$5</f>
        <v>71.958749999999995</v>
      </c>
      <c r="G10" s="165">
        <f t="shared" si="1"/>
        <v>71.958749999999995</v>
      </c>
      <c r="H10" s="81" t="str">
        <f t="shared" si="2"/>
        <v>Fever</v>
      </c>
    </row>
    <row r="11" spans="1:8" x14ac:dyDescent="0.25">
      <c r="A11" s="61" t="s">
        <v>58</v>
      </c>
      <c r="C11" s="65" t="s">
        <v>281</v>
      </c>
      <c r="D11" s="65">
        <v>30</v>
      </c>
      <c r="E11" s="169">
        <f t="shared" si="0"/>
        <v>30</v>
      </c>
      <c r="F11" s="82">
        <f>D11*Staff_cost!$I$5</f>
        <v>143.91749999999999</v>
      </c>
      <c r="G11" s="165">
        <f t="shared" si="1"/>
        <v>143.91749999999999</v>
      </c>
      <c r="H11" s="81" t="str">
        <f t="shared" si="2"/>
        <v>Injections: initial visit</v>
      </c>
    </row>
    <row r="12" spans="1:8" x14ac:dyDescent="0.25">
      <c r="C12" s="65" t="s">
        <v>280</v>
      </c>
      <c r="D12" s="65">
        <v>5</v>
      </c>
      <c r="E12" s="169">
        <f t="shared" si="0"/>
        <v>5</v>
      </c>
      <c r="F12" s="82">
        <f>D12*Staff_cost!$I$5</f>
        <v>23.986249999999998</v>
      </c>
      <c r="G12" s="165">
        <f t="shared" si="1"/>
        <v>23.986249999999998</v>
      </c>
      <c r="H12" s="81" t="str">
        <f t="shared" si="2"/>
        <v>Injections: follow-up visit</v>
      </c>
    </row>
    <row r="13" spans="1:8" x14ac:dyDescent="0.25">
      <c r="C13" s="65" t="s">
        <v>277</v>
      </c>
      <c r="D13" s="65">
        <v>30</v>
      </c>
      <c r="E13" s="169">
        <f t="shared" si="0"/>
        <v>30</v>
      </c>
      <c r="F13" s="82">
        <f>D13*Staff_cost!$I$5</f>
        <v>143.91749999999999</v>
      </c>
      <c r="G13" s="165">
        <f t="shared" si="1"/>
        <v>143.91749999999999</v>
      </c>
      <c r="H13" s="81" t="str">
        <f t="shared" si="2"/>
        <v>Oral Contraceptives: initial visit</v>
      </c>
    </row>
    <row r="14" spans="1:8" x14ac:dyDescent="0.25">
      <c r="C14" s="65" t="s">
        <v>276</v>
      </c>
      <c r="D14" s="65">
        <v>5</v>
      </c>
      <c r="E14" s="169">
        <f t="shared" si="0"/>
        <v>5</v>
      </c>
      <c r="F14" s="82">
        <f>D14*Staff_cost!$I$5</f>
        <v>23.986249999999998</v>
      </c>
      <c r="G14" s="165">
        <f t="shared" si="1"/>
        <v>23.986249999999998</v>
      </c>
      <c r="H14" s="81" t="str">
        <f t="shared" si="2"/>
        <v>Oral Contraceptives: follow-up visit</v>
      </c>
    </row>
    <row r="15" spans="1:8" x14ac:dyDescent="0.25">
      <c r="C15" s="65" t="s">
        <v>275</v>
      </c>
      <c r="D15" s="65">
        <v>20</v>
      </c>
      <c r="E15" s="169">
        <f t="shared" si="0"/>
        <v>20</v>
      </c>
      <c r="F15" s="82">
        <f>D15*Staff_cost!$I$5</f>
        <v>95.944999999999993</v>
      </c>
      <c r="G15" s="165">
        <f t="shared" si="1"/>
        <v>95.944999999999993</v>
      </c>
      <c r="H15" s="81" t="str">
        <f t="shared" si="2"/>
        <v>Condoms: initial visit</v>
      </c>
    </row>
    <row r="16" spans="1:8" x14ac:dyDescent="0.25">
      <c r="C16" s="65" t="s">
        <v>282</v>
      </c>
      <c r="D16" s="65">
        <v>2</v>
      </c>
      <c r="E16" s="169">
        <f t="shared" si="0"/>
        <v>2</v>
      </c>
      <c r="F16" s="82">
        <f>D16*Staff_cost!$I$5</f>
        <v>9.5945</v>
      </c>
      <c r="G16" s="165">
        <f t="shared" si="1"/>
        <v>9.5945</v>
      </c>
      <c r="H16" s="81" t="str">
        <f t="shared" si="2"/>
        <v>Condoms: follow-up visit</v>
      </c>
    </row>
    <row r="17" spans="1:8" x14ac:dyDescent="0.25">
      <c r="C17" s="65"/>
      <c r="D17" s="65"/>
      <c r="E17" s="169"/>
      <c r="F17" s="82"/>
      <c r="G17" s="165"/>
      <c r="H17" s="81">
        <f t="shared" si="2"/>
        <v>0</v>
      </c>
    </row>
    <row r="18" spans="1:8" x14ac:dyDescent="0.25">
      <c r="A18" s="61" t="s">
        <v>283</v>
      </c>
      <c r="C18" s="65" t="s">
        <v>284</v>
      </c>
      <c r="D18" s="83">
        <f>4*4</f>
        <v>16</v>
      </c>
      <c r="E18" s="169">
        <f t="shared" ref="E18:E23" si="3">SUM(D18:D18)</f>
        <v>16</v>
      </c>
      <c r="F18" s="82">
        <f>D18*Staff_cost!$I$5</f>
        <v>76.756</v>
      </c>
      <c r="G18" s="165">
        <f t="shared" ref="G18:G23" si="4">SUM(F18:F18)</f>
        <v>76.756</v>
      </c>
      <c r="H18" s="81" t="str">
        <f t="shared" si="2"/>
        <v>Polio drops</v>
      </c>
    </row>
    <row r="19" spans="1:8" x14ac:dyDescent="0.25">
      <c r="C19" s="65" t="s">
        <v>285</v>
      </c>
      <c r="D19" s="83">
        <v>4</v>
      </c>
      <c r="E19" s="169">
        <f t="shared" si="3"/>
        <v>4</v>
      </c>
      <c r="F19" s="82">
        <f>D19*Staff_cost!$I$5</f>
        <v>19.189</v>
      </c>
      <c r="G19" s="165">
        <f t="shared" si="4"/>
        <v>19.189</v>
      </c>
      <c r="H19" s="81" t="str">
        <f t="shared" si="2"/>
        <v>Injection BCG</v>
      </c>
    </row>
    <row r="20" spans="1:8" x14ac:dyDescent="0.25">
      <c r="C20" s="65" t="s">
        <v>286</v>
      </c>
      <c r="D20" s="83">
        <f>4*3</f>
        <v>12</v>
      </c>
      <c r="E20" s="169">
        <f t="shared" si="3"/>
        <v>12</v>
      </c>
      <c r="F20" s="82">
        <f>D20*Staff_cost!$I$5</f>
        <v>57.567</v>
      </c>
      <c r="G20" s="165">
        <f t="shared" si="4"/>
        <v>57.567</v>
      </c>
      <c r="H20" s="81" t="str">
        <f t="shared" si="2"/>
        <v>Injection Pentavalent</v>
      </c>
    </row>
    <row r="21" spans="1:8" x14ac:dyDescent="0.25">
      <c r="C21" s="65" t="s">
        <v>287</v>
      </c>
      <c r="D21" s="83">
        <v>4</v>
      </c>
      <c r="E21" s="169">
        <f t="shared" si="3"/>
        <v>4</v>
      </c>
      <c r="F21" s="82">
        <f>D21*Staff_cost!$I$5</f>
        <v>19.189</v>
      </c>
      <c r="G21" s="165">
        <f t="shared" si="4"/>
        <v>19.189</v>
      </c>
      <c r="H21" s="81" t="str">
        <f t="shared" si="2"/>
        <v>Measles</v>
      </c>
    </row>
    <row r="22" spans="1:8" x14ac:dyDescent="0.25">
      <c r="C22" s="83" t="s">
        <v>524</v>
      </c>
      <c r="D22" s="83">
        <f>4*3</f>
        <v>12</v>
      </c>
      <c r="E22" s="169">
        <f t="shared" si="3"/>
        <v>12</v>
      </c>
      <c r="F22" s="82">
        <f>D22*Staff_cost!$I$5</f>
        <v>57.567</v>
      </c>
      <c r="G22" s="165">
        <f t="shared" si="4"/>
        <v>57.567</v>
      </c>
      <c r="H22" s="81" t="str">
        <f t="shared" si="2"/>
        <v>Pneumococcal</v>
      </c>
    </row>
    <row r="23" spans="1:8" x14ac:dyDescent="0.25">
      <c r="C23" s="83" t="s">
        <v>567</v>
      </c>
      <c r="D23" s="83">
        <v>4</v>
      </c>
      <c r="E23" s="169">
        <f t="shared" si="3"/>
        <v>4</v>
      </c>
      <c r="F23" s="82">
        <f>D23*Staff_cost!$I$5</f>
        <v>19.189</v>
      </c>
      <c r="G23" s="165">
        <f t="shared" si="4"/>
        <v>19.189</v>
      </c>
      <c r="H23" s="81" t="str">
        <f t="shared" si="2"/>
        <v>Hepatitus B</v>
      </c>
    </row>
    <row r="24" spans="1:8" x14ac:dyDescent="0.25">
      <c r="C24" s="65"/>
      <c r="D24" s="65"/>
      <c r="E24" s="169"/>
      <c r="F24" s="82"/>
      <c r="G24" s="165"/>
      <c r="H24" s="81">
        <f t="shared" si="2"/>
        <v>0</v>
      </c>
    </row>
    <row r="25" spans="1:8" x14ac:dyDescent="0.25">
      <c r="A25" s="61" t="s">
        <v>288</v>
      </c>
      <c r="C25" s="65" t="s">
        <v>77</v>
      </c>
      <c r="D25" s="65">
        <v>20</v>
      </c>
      <c r="E25" s="169">
        <f>SUM(D25:D25)</f>
        <v>20</v>
      </c>
      <c r="F25" s="82">
        <f>D25*Staff_cost!$I$5</f>
        <v>95.944999999999993</v>
      </c>
      <c r="G25" s="165">
        <f>SUM(F25:F25)</f>
        <v>95.944999999999993</v>
      </c>
      <c r="H25" s="81" t="str">
        <f t="shared" si="2"/>
        <v>Common cold and cough</v>
      </c>
    </row>
    <row r="26" spans="1:8" x14ac:dyDescent="0.25">
      <c r="C26" s="166"/>
      <c r="D26" s="166"/>
      <c r="E26" s="167">
        <f>SUM(E5:E25)</f>
        <v>349</v>
      </c>
      <c r="F26" s="168"/>
      <c r="G26" s="165"/>
    </row>
    <row r="27" spans="1:8" x14ac:dyDescent="0.25">
      <c r="D27" s="84"/>
      <c r="E27" s="84"/>
    </row>
    <row r="28" spans="1:8" x14ac:dyDescent="0.25">
      <c r="D28" s="84"/>
      <c r="E28" s="84"/>
    </row>
    <row r="29" spans="1:8" x14ac:dyDescent="0.25">
      <c r="D29" s="84"/>
      <c r="E29" s="85"/>
      <c r="F29" s="81"/>
    </row>
    <row r="30" spans="1:8" x14ac:dyDescent="0.25">
      <c r="D30" s="84"/>
      <c r="E30" s="85"/>
      <c r="F30" s="86"/>
    </row>
    <row r="31" spans="1:8" x14ac:dyDescent="0.25">
      <c r="D31" s="84"/>
      <c r="E31" s="85"/>
      <c r="F31" s="86"/>
    </row>
    <row r="32" spans="1:8" x14ac:dyDescent="0.25">
      <c r="D32" s="84"/>
      <c r="E32" s="85"/>
      <c r="F32" s="86"/>
    </row>
    <row r="33" spans="4:6" x14ac:dyDescent="0.25">
      <c r="D33" s="84"/>
      <c r="E33" s="85"/>
      <c r="F33" s="86"/>
    </row>
    <row r="34" spans="4:6" x14ac:dyDescent="0.25">
      <c r="D34" s="84"/>
      <c r="E34" s="85"/>
      <c r="F34" s="86"/>
    </row>
    <row r="35" spans="4:6" x14ac:dyDescent="0.25">
      <c r="D35" s="84"/>
      <c r="E35" s="85"/>
      <c r="F35" s="86"/>
    </row>
    <row r="36" spans="4:6" x14ac:dyDescent="0.25">
      <c r="D36" s="84"/>
      <c r="E36" s="85"/>
      <c r="F36" s="86"/>
    </row>
    <row r="37" spans="4:6" x14ac:dyDescent="0.25">
      <c r="D37" s="84"/>
      <c r="E37" s="85"/>
      <c r="F37" s="86"/>
    </row>
    <row r="38" spans="4:6" x14ac:dyDescent="0.25">
      <c r="D38" s="84"/>
      <c r="E38" s="85"/>
      <c r="F38" s="86"/>
    </row>
    <row r="39" spans="4:6" x14ac:dyDescent="0.25">
      <c r="D39" s="84"/>
      <c r="E39" s="85"/>
      <c r="F39" s="86"/>
    </row>
    <row r="40" spans="4:6" x14ac:dyDescent="0.25">
      <c r="D40" s="84"/>
      <c r="E40" s="85"/>
      <c r="F40" s="86"/>
    </row>
    <row r="41" spans="4:6" x14ac:dyDescent="0.25">
      <c r="D41" s="84"/>
      <c r="E41" s="85"/>
      <c r="F41" s="86"/>
    </row>
    <row r="42" spans="4:6" x14ac:dyDescent="0.25">
      <c r="D42" s="84"/>
      <c r="E42" s="85"/>
      <c r="F42" s="86"/>
    </row>
    <row r="43" spans="4:6" x14ac:dyDescent="0.25">
      <c r="D43" s="84"/>
      <c r="E43" s="85"/>
      <c r="F43" s="86"/>
    </row>
    <row r="44" spans="4:6" x14ac:dyDescent="0.25">
      <c r="D44" s="84"/>
      <c r="E44" s="85"/>
      <c r="F44" s="86"/>
    </row>
    <row r="45" spans="4:6" x14ac:dyDescent="0.25">
      <c r="D45" s="84"/>
      <c r="E45" s="85"/>
      <c r="F45" s="86"/>
    </row>
    <row r="46" spans="4:6" x14ac:dyDescent="0.25">
      <c r="D46" s="84"/>
      <c r="E46" s="85"/>
      <c r="F46" s="86"/>
    </row>
    <row r="47" spans="4:6" x14ac:dyDescent="0.25">
      <c r="D47" s="84"/>
      <c r="E47" s="85"/>
      <c r="F47" s="86"/>
    </row>
    <row r="48" spans="4:6" x14ac:dyDescent="0.25">
      <c r="D48" s="84"/>
      <c r="E48" s="85"/>
      <c r="F48" s="86"/>
    </row>
    <row r="49" spans="4:6" x14ac:dyDescent="0.25">
      <c r="D49" s="84"/>
      <c r="E49" s="85"/>
      <c r="F49" s="86"/>
    </row>
    <row r="50" spans="4:6" x14ac:dyDescent="0.25">
      <c r="D50" s="84"/>
      <c r="E50" s="85"/>
      <c r="F50" s="86"/>
    </row>
    <row r="51" spans="4:6" x14ac:dyDescent="0.25">
      <c r="D51" s="84"/>
      <c r="E51" s="85"/>
      <c r="F51" s="86"/>
    </row>
    <row r="52" spans="4:6" x14ac:dyDescent="0.25">
      <c r="D52" s="84"/>
      <c r="E52" s="85"/>
      <c r="F52" s="86"/>
    </row>
    <row r="53" spans="4:6" x14ac:dyDescent="0.25">
      <c r="D53" s="84"/>
      <c r="E53" s="85"/>
      <c r="F53" s="86"/>
    </row>
    <row r="54" spans="4:6" x14ac:dyDescent="0.25">
      <c r="D54" s="84"/>
      <c r="E54" s="85"/>
      <c r="F54" s="86"/>
    </row>
    <row r="55" spans="4:6" x14ac:dyDescent="0.25">
      <c r="D55" s="84"/>
      <c r="E55" s="85"/>
      <c r="F55" s="86"/>
    </row>
    <row r="56" spans="4:6" x14ac:dyDescent="0.25">
      <c r="D56" s="84"/>
      <c r="E56" s="85"/>
      <c r="F56" s="86"/>
    </row>
    <row r="57" spans="4:6" x14ac:dyDescent="0.25">
      <c r="D57" s="84"/>
      <c r="E57" s="85"/>
      <c r="F57" s="86"/>
    </row>
    <row r="58" spans="4:6" x14ac:dyDescent="0.25">
      <c r="D58" s="84"/>
      <c r="E58" s="85"/>
      <c r="F58" s="86"/>
    </row>
    <row r="59" spans="4:6" x14ac:dyDescent="0.25">
      <c r="D59" s="84"/>
      <c r="E59" s="85"/>
      <c r="F59" s="86"/>
    </row>
    <row r="60" spans="4:6" x14ac:dyDescent="0.25">
      <c r="D60" s="84"/>
      <c r="E60" s="85"/>
      <c r="F60" s="86"/>
    </row>
    <row r="61" spans="4:6" x14ac:dyDescent="0.25">
      <c r="D61" s="84"/>
      <c r="E61" s="85"/>
      <c r="F61" s="86"/>
    </row>
    <row r="62" spans="4:6" x14ac:dyDescent="0.25">
      <c r="D62" s="84"/>
      <c r="E62" s="85"/>
      <c r="F62" s="86"/>
    </row>
    <row r="63" spans="4:6" x14ac:dyDescent="0.25">
      <c r="D63" s="84"/>
      <c r="E63" s="85"/>
      <c r="F63" s="86"/>
    </row>
    <row r="64" spans="4:6" x14ac:dyDescent="0.25">
      <c r="D64" s="84"/>
      <c r="E64" s="85"/>
      <c r="F64" s="86"/>
    </row>
    <row r="65" spans="4:6" x14ac:dyDescent="0.25">
      <c r="D65" s="84"/>
      <c r="E65" s="85"/>
      <c r="F65" s="86"/>
    </row>
    <row r="66" spans="4:6" x14ac:dyDescent="0.25">
      <c r="D66" s="84"/>
      <c r="E66" s="85"/>
      <c r="F66" s="86"/>
    </row>
    <row r="67" spans="4:6" x14ac:dyDescent="0.25">
      <c r="D67" s="84"/>
      <c r="E67" s="85"/>
      <c r="F67" s="86"/>
    </row>
    <row r="68" spans="4:6" x14ac:dyDescent="0.25">
      <c r="D68" s="84"/>
      <c r="E68" s="85"/>
      <c r="F68" s="86"/>
    </row>
    <row r="69" spans="4:6" x14ac:dyDescent="0.25">
      <c r="D69" s="84"/>
      <c r="E69" s="85"/>
      <c r="F69" s="86"/>
    </row>
    <row r="70" spans="4:6" x14ac:dyDescent="0.25">
      <c r="D70" s="84"/>
      <c r="E70" s="85"/>
      <c r="F70" s="86"/>
    </row>
    <row r="71" spans="4:6" x14ac:dyDescent="0.25">
      <c r="D71" s="84"/>
      <c r="E71" s="85"/>
      <c r="F71" s="86"/>
    </row>
    <row r="72" spans="4:6" x14ac:dyDescent="0.25">
      <c r="D72" s="84"/>
      <c r="E72" s="85"/>
      <c r="F72" s="86"/>
    </row>
    <row r="73" spans="4:6" x14ac:dyDescent="0.25">
      <c r="D73" s="84"/>
      <c r="E73" s="85"/>
      <c r="F73" s="86"/>
    </row>
    <row r="74" spans="4:6" x14ac:dyDescent="0.25">
      <c r="D74" s="84"/>
      <c r="E74" s="85"/>
      <c r="F74" s="86"/>
    </row>
    <row r="75" spans="4:6" x14ac:dyDescent="0.25">
      <c r="D75" s="84"/>
      <c r="E75" s="85"/>
      <c r="F75" s="86"/>
    </row>
    <row r="76" spans="4:6" x14ac:dyDescent="0.25">
      <c r="D76" s="84"/>
      <c r="E76" s="85"/>
      <c r="F76" s="86"/>
    </row>
    <row r="77" spans="4:6" x14ac:dyDescent="0.25">
      <c r="D77" s="84"/>
      <c r="E77" s="85"/>
      <c r="F77" s="86"/>
    </row>
    <row r="78" spans="4:6" x14ac:dyDescent="0.25">
      <c r="D78" s="84"/>
      <c r="E78" s="85"/>
      <c r="F78" s="86"/>
    </row>
    <row r="79" spans="4:6" x14ac:dyDescent="0.25">
      <c r="D79" s="84"/>
      <c r="E79" s="85"/>
      <c r="F79" s="86"/>
    </row>
    <row r="80" spans="4:6" x14ac:dyDescent="0.25">
      <c r="D80" s="84"/>
      <c r="E80" s="85"/>
      <c r="F80" s="86"/>
    </row>
    <row r="81" spans="4:6" x14ac:dyDescent="0.25">
      <c r="D81" s="84"/>
      <c r="E81" s="85"/>
      <c r="F81" s="86"/>
    </row>
    <row r="82" spans="4:6" x14ac:dyDescent="0.25">
      <c r="D82" s="84"/>
      <c r="E82" s="85"/>
      <c r="F82" s="86"/>
    </row>
    <row r="83" spans="4:6" x14ac:dyDescent="0.25">
      <c r="D83" s="84"/>
      <c r="E83" s="85"/>
      <c r="F83" s="86"/>
    </row>
    <row r="84" spans="4:6" x14ac:dyDescent="0.25">
      <c r="D84" s="84"/>
      <c r="E84" s="85"/>
      <c r="F84" s="86"/>
    </row>
    <row r="85" spans="4:6" x14ac:dyDescent="0.25">
      <c r="D85" s="84"/>
      <c r="E85" s="85"/>
      <c r="F85" s="86"/>
    </row>
    <row r="86" spans="4:6" x14ac:dyDescent="0.25">
      <c r="D86" s="84"/>
      <c r="E86" s="85"/>
      <c r="F86" s="86"/>
    </row>
    <row r="87" spans="4:6" x14ac:dyDescent="0.25">
      <c r="D87" s="84"/>
      <c r="E87" s="85"/>
      <c r="F87" s="86"/>
    </row>
    <row r="88" spans="4:6" x14ac:dyDescent="0.25">
      <c r="D88" s="84"/>
      <c r="E88" s="85"/>
      <c r="F88" s="86"/>
    </row>
    <row r="89" spans="4:6" x14ac:dyDescent="0.25">
      <c r="D89" s="84"/>
      <c r="E89" s="85"/>
      <c r="F89" s="86"/>
    </row>
  </sheetData>
  <sheetProtection algorithmName="SHA-512" hashValue="C6UAecv7F8a5UletZGEPBzyTyKzl5kEdy9j+KzcVhJgglN6A7+GgRiyDNKmB2oGqFpiR+D7EE5r/WSs6O560OA==" saltValue="djeW5tnZfQOyBRfws2XdIA==" spinCount="100000" sheet="1" objects="1" scenarios="1"/>
  <mergeCells count="3">
    <mergeCell ref="C3:C4"/>
    <mergeCell ref="D3:E3"/>
    <mergeCell ref="F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workbookViewId="0">
      <selection activeCell="B24" sqref="B24"/>
    </sheetView>
  </sheetViews>
  <sheetFormatPr defaultRowHeight="15" x14ac:dyDescent="0.25"/>
  <cols>
    <col min="1" max="1" width="9.140625" style="19"/>
    <col min="2" max="2" width="79.7109375" style="19" bestFit="1" customWidth="1"/>
    <col min="3" max="3" width="10" style="19" customWidth="1"/>
    <col min="4" max="4" width="9.85546875" style="19" customWidth="1"/>
    <col min="5" max="5" width="11.5703125" style="19" customWidth="1"/>
    <col min="6" max="6" width="9.5703125" style="19" customWidth="1"/>
    <col min="7" max="7" width="8.5703125" style="19" customWidth="1"/>
    <col min="8" max="8" width="11.5703125" style="19" customWidth="1"/>
    <col min="9" max="16384" width="9.140625" style="19"/>
  </cols>
  <sheetData>
    <row r="1" spans="2:11" x14ac:dyDescent="0.25">
      <c r="B1" s="20" t="s">
        <v>257</v>
      </c>
    </row>
    <row r="3" spans="2:11" ht="15.75" x14ac:dyDescent="0.25">
      <c r="B3" s="206" t="s">
        <v>161</v>
      </c>
      <c r="C3" s="206"/>
      <c r="D3" s="206"/>
      <c r="E3" s="206"/>
      <c r="F3" s="206"/>
      <c r="G3" s="206"/>
      <c r="H3" s="206"/>
      <c r="I3" s="206"/>
    </row>
    <row r="4" spans="2:11" ht="15" customHeight="1" x14ac:dyDescent="0.25">
      <c r="B4" s="207" t="s">
        <v>0</v>
      </c>
      <c r="C4" s="209" t="s">
        <v>5</v>
      </c>
      <c r="D4" s="209"/>
      <c r="E4" s="209" t="s">
        <v>6</v>
      </c>
      <c r="F4" s="210" t="s">
        <v>518</v>
      </c>
      <c r="G4" s="212" t="s">
        <v>3</v>
      </c>
      <c r="H4" s="213"/>
      <c r="I4" s="209" t="s">
        <v>9</v>
      </c>
    </row>
    <row r="5" spans="2:11" x14ac:dyDescent="0.25">
      <c r="B5" s="208"/>
      <c r="C5" s="7" t="s">
        <v>4</v>
      </c>
      <c r="D5" s="7" t="s">
        <v>7</v>
      </c>
      <c r="E5" s="209"/>
      <c r="F5" s="211"/>
      <c r="G5" s="7" t="s">
        <v>8</v>
      </c>
      <c r="H5" s="7" t="s">
        <v>2</v>
      </c>
      <c r="I5" s="209"/>
    </row>
    <row r="6" spans="2:11" x14ac:dyDescent="0.25">
      <c r="B6" s="31"/>
      <c r="C6" s="32"/>
      <c r="D6" s="32"/>
      <c r="E6" s="32"/>
      <c r="F6" s="38"/>
      <c r="G6" s="32">
        <f>C6*D6*E6*F6</f>
        <v>0</v>
      </c>
      <c r="H6" s="33" t="str">
        <f>IF(G6=0,"",(VLOOKUP($B$6:$B$15,Drugs_list!$C$9:$K$172,7,FALSE)))</f>
        <v/>
      </c>
      <c r="I6" s="33" t="str">
        <f>IF(G6=0,"",(G6*H6))</f>
        <v/>
      </c>
      <c r="K6" s="19" t="e">
        <f>VLOOKUP($B$6:$B$15,Drugs_list!$C$9:$K$172,9,FALSE)</f>
        <v>#N/A</v>
      </c>
    </row>
    <row r="7" spans="2:11" x14ac:dyDescent="0.25">
      <c r="B7" s="31"/>
      <c r="C7" s="32"/>
      <c r="D7" s="32"/>
      <c r="E7" s="32"/>
      <c r="F7" s="38"/>
      <c r="G7" s="32">
        <f t="shared" ref="G7:G15" si="0">C7*D7*E7*F7</f>
        <v>0</v>
      </c>
      <c r="H7" s="33" t="str">
        <f>IF(G7=0,"",(VLOOKUP($B$6:$B$15,Drugs_list!$C$9:$K$172,7,FALSE)))</f>
        <v/>
      </c>
      <c r="I7" s="33" t="str">
        <f t="shared" ref="I7:I15" si="1">IF(G7=0,"",(G7*H7))</f>
        <v/>
      </c>
      <c r="K7" s="19" t="e">
        <f>VLOOKUP($B$6:$B$15,Drugs_list!$C$9:$K$172,9,FALSE)</f>
        <v>#N/A</v>
      </c>
    </row>
    <row r="8" spans="2:11" x14ac:dyDescent="0.25">
      <c r="B8" s="31"/>
      <c r="C8" s="32"/>
      <c r="D8" s="32"/>
      <c r="E8" s="32"/>
      <c r="F8" s="38"/>
      <c r="G8" s="32">
        <f t="shared" si="0"/>
        <v>0</v>
      </c>
      <c r="H8" s="33" t="str">
        <f>IF(G8=0,"",(VLOOKUP($B$6:$B$15,Drugs_list!$C$9:$K$172,7,FALSE)))</f>
        <v/>
      </c>
      <c r="I8" s="33" t="str">
        <f t="shared" si="1"/>
        <v/>
      </c>
      <c r="K8" s="19" t="e">
        <f>VLOOKUP($B$6:$B$15,Drugs_list!$C$9:$K$172,9,FALSE)</f>
        <v>#N/A</v>
      </c>
    </row>
    <row r="9" spans="2:11" x14ac:dyDescent="0.25">
      <c r="B9" s="31"/>
      <c r="C9" s="32"/>
      <c r="D9" s="32"/>
      <c r="E9" s="32"/>
      <c r="F9" s="38"/>
      <c r="G9" s="32">
        <f t="shared" si="0"/>
        <v>0</v>
      </c>
      <c r="H9" s="33" t="str">
        <f>IF(G9=0,"",(VLOOKUP($B$6:$B$15,Drugs_list!$C$9:$K$172,7,FALSE)))</f>
        <v/>
      </c>
      <c r="I9" s="33" t="str">
        <f t="shared" si="1"/>
        <v/>
      </c>
      <c r="K9" s="19" t="e">
        <f>VLOOKUP($B$6:$B$15,Drugs_list!$C$9:$K$172,9,FALSE)</f>
        <v>#N/A</v>
      </c>
    </row>
    <row r="10" spans="2:11" x14ac:dyDescent="0.25">
      <c r="B10" s="31"/>
      <c r="C10" s="32"/>
      <c r="D10" s="32"/>
      <c r="E10" s="32"/>
      <c r="F10" s="38"/>
      <c r="G10" s="32">
        <f t="shared" si="0"/>
        <v>0</v>
      </c>
      <c r="H10" s="33" t="str">
        <f>IF(G10=0,"",(VLOOKUP($B$6:$B$15,Drugs_list!$C$9:$K$172,7,FALSE)))</f>
        <v/>
      </c>
      <c r="I10" s="33" t="str">
        <f t="shared" si="1"/>
        <v/>
      </c>
      <c r="K10" s="19" t="e">
        <f>VLOOKUP($B$6:$B$15,Drugs_list!$C$9:$K$172,9,FALSE)</f>
        <v>#N/A</v>
      </c>
    </row>
    <row r="11" spans="2:11" x14ac:dyDescent="0.25">
      <c r="B11" s="31"/>
      <c r="C11" s="32"/>
      <c r="D11" s="32"/>
      <c r="E11" s="32"/>
      <c r="F11" s="38"/>
      <c r="G11" s="32">
        <f t="shared" si="0"/>
        <v>0</v>
      </c>
      <c r="H11" s="33" t="str">
        <f>IF(G11=0,"",(VLOOKUP($B$6:$B$15,Drugs_list!$C$9:$K$172,7,FALSE)))</f>
        <v/>
      </c>
      <c r="I11" s="33" t="str">
        <f t="shared" si="1"/>
        <v/>
      </c>
      <c r="K11" s="19" t="e">
        <f>VLOOKUP($B$6:$B$15,Drugs_list!$C$9:$K$172,9,FALSE)</f>
        <v>#N/A</v>
      </c>
    </row>
    <row r="12" spans="2:11" x14ac:dyDescent="0.25">
      <c r="B12" s="31"/>
      <c r="C12" s="32"/>
      <c r="D12" s="32"/>
      <c r="E12" s="32"/>
      <c r="F12" s="38"/>
      <c r="G12" s="32">
        <f t="shared" si="0"/>
        <v>0</v>
      </c>
      <c r="H12" s="33" t="str">
        <f>IF(G12=0,"",(VLOOKUP($B$6:$B$15,Drugs_list!$C$9:$K$172,7,FALSE)))</f>
        <v/>
      </c>
      <c r="I12" s="33" t="str">
        <f t="shared" si="1"/>
        <v/>
      </c>
      <c r="K12" s="19" t="e">
        <f>VLOOKUP($B$6:$B$15,Drugs_list!$C$9:$K$172,9,FALSE)</f>
        <v>#N/A</v>
      </c>
    </row>
    <row r="13" spans="2:11" x14ac:dyDescent="0.25">
      <c r="B13" s="31"/>
      <c r="C13" s="32"/>
      <c r="D13" s="32"/>
      <c r="E13" s="32"/>
      <c r="F13" s="38"/>
      <c r="G13" s="32">
        <f t="shared" si="0"/>
        <v>0</v>
      </c>
      <c r="H13" s="33" t="str">
        <f>IF(G13=0,"",(VLOOKUP($B$6:$B$15,Drugs_list!$C$9:$K$172,7,FALSE)))</f>
        <v/>
      </c>
      <c r="I13" s="33" t="str">
        <f t="shared" si="1"/>
        <v/>
      </c>
      <c r="K13" s="19" t="e">
        <f>VLOOKUP($B$6:$B$15,Drugs_list!$C$9:$K$172,9,FALSE)</f>
        <v>#N/A</v>
      </c>
    </row>
    <row r="14" spans="2:11" x14ac:dyDescent="0.25">
      <c r="B14" s="31"/>
      <c r="C14" s="32"/>
      <c r="D14" s="32"/>
      <c r="E14" s="32"/>
      <c r="F14" s="38"/>
      <c r="G14" s="32">
        <f t="shared" si="0"/>
        <v>0</v>
      </c>
      <c r="H14" s="33" t="str">
        <f>IF(G14=0,"",(VLOOKUP($B$6:$B$15,Drugs_list!$C$9:$K$172,7,FALSE)))</f>
        <v/>
      </c>
      <c r="I14" s="33" t="str">
        <f t="shared" si="1"/>
        <v/>
      </c>
      <c r="K14" s="19" t="e">
        <f>VLOOKUP($B$6:$B$15,Drugs_list!$C$9:$K$172,9,FALSE)</f>
        <v>#N/A</v>
      </c>
    </row>
    <row r="15" spans="2:11" x14ac:dyDescent="0.25">
      <c r="B15" s="31"/>
      <c r="C15" s="32"/>
      <c r="D15" s="32"/>
      <c r="E15" s="32"/>
      <c r="F15" s="38"/>
      <c r="G15" s="32">
        <f t="shared" si="0"/>
        <v>0</v>
      </c>
      <c r="H15" s="33" t="str">
        <f>IF(G15=0,"",(VLOOKUP($B$6:$B$15,Drugs_list!$C$9:$K$172,7,FALSE)))</f>
        <v/>
      </c>
      <c r="I15" s="33" t="str">
        <f t="shared" si="1"/>
        <v/>
      </c>
      <c r="K15" s="19" t="e">
        <f>VLOOKUP($B$6:$B$15,Drugs_list!$C$9:$K$172,9,FALSE)</f>
        <v>#N/A</v>
      </c>
    </row>
    <row r="16" spans="2:11" x14ac:dyDescent="0.25">
      <c r="B16" s="10" t="s">
        <v>8</v>
      </c>
      <c r="C16" s="11"/>
      <c r="D16" s="11"/>
      <c r="E16" s="11"/>
      <c r="F16" s="11"/>
      <c r="G16" s="11"/>
      <c r="H16" s="11"/>
      <c r="I16" s="34">
        <f>SUM(I6:I15)</f>
        <v>0</v>
      </c>
    </row>
    <row r="19" spans="2:6" ht="15.75" x14ac:dyDescent="0.25">
      <c r="B19" s="206" t="s">
        <v>162</v>
      </c>
      <c r="C19" s="206"/>
      <c r="D19" s="206"/>
      <c r="E19" s="206"/>
      <c r="F19" s="206"/>
    </row>
    <row r="20" spans="2:6" ht="19.5" customHeight="1" x14ac:dyDescent="0.25">
      <c r="B20" s="12" t="s">
        <v>0</v>
      </c>
      <c r="C20" s="7" t="s">
        <v>1</v>
      </c>
      <c r="D20" s="7" t="s">
        <v>518</v>
      </c>
      <c r="E20" s="7" t="s">
        <v>159</v>
      </c>
      <c r="F20" s="7" t="s">
        <v>160</v>
      </c>
    </row>
    <row r="21" spans="2:6" x14ac:dyDescent="0.25">
      <c r="B21" s="31"/>
      <c r="C21" s="32"/>
      <c r="D21" s="38"/>
      <c r="E21" s="32" t="str">
        <f>IF(C21="","",(VLOOKUP($B$21:$B$30,Supplies_list!$C$8:$G$64,5,FALSE)))</f>
        <v/>
      </c>
      <c r="F21" s="32" t="str">
        <f>IF(C21="","",(C21*D21*E21))</f>
        <v/>
      </c>
    </row>
    <row r="22" spans="2:6" x14ac:dyDescent="0.25">
      <c r="B22" s="31"/>
      <c r="C22" s="32"/>
      <c r="D22" s="38"/>
      <c r="E22" s="32" t="str">
        <f>IF(C22="","",(VLOOKUP($B$21:$B$30,Supplies_list!$C$8:$G$64,5,FALSE)))</f>
        <v/>
      </c>
      <c r="F22" s="32" t="str">
        <f t="shared" ref="F22:F30" si="2">IF(C22="","",(C22*D22*E22))</f>
        <v/>
      </c>
    </row>
    <row r="23" spans="2:6" x14ac:dyDescent="0.25">
      <c r="B23" s="31"/>
      <c r="C23" s="32"/>
      <c r="D23" s="38"/>
      <c r="E23" s="32" t="str">
        <f>IF(C23="","",(VLOOKUP($B$21:$B$30,Supplies_list!$C$8:$G$64,5,FALSE)))</f>
        <v/>
      </c>
      <c r="F23" s="32" t="str">
        <f t="shared" si="2"/>
        <v/>
      </c>
    </row>
    <row r="24" spans="2:6" x14ac:dyDescent="0.25">
      <c r="B24" s="31"/>
      <c r="C24" s="36"/>
      <c r="D24" s="39"/>
      <c r="E24" s="32" t="str">
        <f>IF(C24="","",(VLOOKUP($B$21:$B$30,Supplies_list!$C$8:$G$64,5,FALSE)))</f>
        <v/>
      </c>
      <c r="F24" s="32" t="str">
        <f t="shared" si="2"/>
        <v/>
      </c>
    </row>
    <row r="25" spans="2:6" x14ac:dyDescent="0.25">
      <c r="B25" s="31"/>
      <c r="C25" s="32"/>
      <c r="D25" s="38"/>
      <c r="E25" s="32" t="str">
        <f>IF(C25="","",(VLOOKUP($B$21:$B$30,Supplies_list!$C$8:$G$64,5,FALSE)))</f>
        <v/>
      </c>
      <c r="F25" s="32" t="str">
        <f t="shared" si="2"/>
        <v/>
      </c>
    </row>
    <row r="26" spans="2:6" x14ac:dyDescent="0.25">
      <c r="B26" s="31"/>
      <c r="C26" s="32"/>
      <c r="D26" s="38"/>
      <c r="E26" s="32" t="str">
        <f>IF(C26="","",(VLOOKUP($B$21:$B$30,Supplies_list!$C$8:$G$64,5,FALSE)))</f>
        <v/>
      </c>
      <c r="F26" s="32" t="str">
        <f t="shared" si="2"/>
        <v/>
      </c>
    </row>
    <row r="27" spans="2:6" x14ac:dyDescent="0.25">
      <c r="B27" s="31"/>
      <c r="C27" s="32"/>
      <c r="D27" s="38"/>
      <c r="E27" s="32" t="str">
        <f>IF(C27="","",(VLOOKUP($B$21:$B$30,Supplies_list!$C$8:$G$64,5,FALSE)))</f>
        <v/>
      </c>
      <c r="F27" s="32" t="str">
        <f t="shared" si="2"/>
        <v/>
      </c>
    </row>
    <row r="28" spans="2:6" x14ac:dyDescent="0.25">
      <c r="B28" s="31"/>
      <c r="C28" s="32"/>
      <c r="D28" s="38"/>
      <c r="E28" s="32" t="str">
        <f>IF(C28="","",(VLOOKUP($B$21:$B$30,Supplies_list!$C$8:$G$64,5,FALSE)))</f>
        <v/>
      </c>
      <c r="F28" s="32" t="str">
        <f t="shared" si="2"/>
        <v/>
      </c>
    </row>
    <row r="29" spans="2:6" x14ac:dyDescent="0.25">
      <c r="B29" s="31"/>
      <c r="C29" s="32"/>
      <c r="D29" s="38"/>
      <c r="E29" s="32" t="str">
        <f>IF(C29="","",(VLOOKUP($B$21:$B$30,Supplies_list!$C$8:$G$64,5,FALSE)))</f>
        <v/>
      </c>
      <c r="F29" s="32" t="str">
        <f t="shared" si="2"/>
        <v/>
      </c>
    </row>
    <row r="30" spans="2:6" x14ac:dyDescent="0.25">
      <c r="B30" s="31"/>
      <c r="C30" s="32"/>
      <c r="D30" s="38"/>
      <c r="E30" s="32" t="str">
        <f>IF(C30="","",(VLOOKUP($B$21:$B$30,Supplies_list!$C$8:$G$64,5,FALSE)))</f>
        <v/>
      </c>
      <c r="F30" s="32" t="str">
        <f t="shared" si="2"/>
        <v/>
      </c>
    </row>
    <row r="31" spans="2:6" x14ac:dyDescent="0.25">
      <c r="B31" s="10" t="s">
        <v>8</v>
      </c>
      <c r="C31" s="11"/>
      <c r="D31" s="11"/>
      <c r="E31" s="11"/>
      <c r="F31" s="34">
        <f>SUM(F21:F30)</f>
        <v>0</v>
      </c>
    </row>
    <row r="35" spans="2:5" ht="15.75" x14ac:dyDescent="0.25">
      <c r="B35" s="206" t="s">
        <v>163</v>
      </c>
      <c r="C35" s="206"/>
      <c r="D35" s="206"/>
      <c r="E35" s="206"/>
    </row>
    <row r="36" spans="2:5" x14ac:dyDescent="0.25">
      <c r="B36" s="7" t="s">
        <v>0</v>
      </c>
      <c r="C36" s="7" t="s">
        <v>1</v>
      </c>
      <c r="D36" s="7" t="s">
        <v>159</v>
      </c>
      <c r="E36" s="7" t="s">
        <v>160</v>
      </c>
    </row>
    <row r="37" spans="2:5" x14ac:dyDescent="0.25">
      <c r="B37" s="31"/>
      <c r="C37" s="32"/>
      <c r="D37" s="32" t="str">
        <f>IF(B37="","",(VLOOKUP($B$37:$B$46,Lab_tests!$H$6:$I$47,2,FALSE)))</f>
        <v/>
      </c>
      <c r="E37" s="32" t="str">
        <f>IF(C37=0,"",(C37*D37))</f>
        <v/>
      </c>
    </row>
    <row r="38" spans="2:5" x14ac:dyDescent="0.25">
      <c r="B38" s="31"/>
      <c r="C38" s="32"/>
      <c r="D38" s="32" t="str">
        <f>IF(B38="","",(VLOOKUP($B$37:$B$46,Lab_tests!$H$6:$I$47,2,FALSE)))</f>
        <v/>
      </c>
      <c r="E38" s="32" t="str">
        <f t="shared" ref="E38:E46" si="3">IF(C38=0,"",(C38*D38))</f>
        <v/>
      </c>
    </row>
    <row r="39" spans="2:5" x14ac:dyDescent="0.25">
      <c r="B39" s="31"/>
      <c r="C39" s="32"/>
      <c r="D39" s="32" t="str">
        <f>IF(B39="","",(VLOOKUP($B$37:$B$46,Lab_tests!$H$6:$I$47,2,FALSE)))</f>
        <v/>
      </c>
      <c r="E39" s="32" t="str">
        <f t="shared" si="3"/>
        <v/>
      </c>
    </row>
    <row r="40" spans="2:5" x14ac:dyDescent="0.25">
      <c r="B40" s="31"/>
      <c r="C40" s="32"/>
      <c r="D40" s="32" t="str">
        <f>IF(B40="","",(VLOOKUP($B$37:$B$46,Lab_tests!$H$6:$I$47,2,FALSE)))</f>
        <v/>
      </c>
      <c r="E40" s="32" t="str">
        <f t="shared" si="3"/>
        <v/>
      </c>
    </row>
    <row r="41" spans="2:5" x14ac:dyDescent="0.25">
      <c r="B41" s="31"/>
      <c r="C41" s="32"/>
      <c r="D41" s="32" t="str">
        <f>IF(B41="","",(VLOOKUP($B$37:$B$46,Lab_tests!$H$6:$I$47,2,FALSE)))</f>
        <v/>
      </c>
      <c r="E41" s="32" t="str">
        <f t="shared" si="3"/>
        <v/>
      </c>
    </row>
    <row r="42" spans="2:5" x14ac:dyDescent="0.25">
      <c r="B42" s="31"/>
      <c r="C42" s="32"/>
      <c r="D42" s="32" t="str">
        <f>IF(B42="","",(VLOOKUP($B$37:$B$46,Lab_tests!$H$6:$I$47,2,FALSE)))</f>
        <v/>
      </c>
      <c r="E42" s="32" t="str">
        <f t="shared" si="3"/>
        <v/>
      </c>
    </row>
    <row r="43" spans="2:5" x14ac:dyDescent="0.25">
      <c r="B43" s="31"/>
      <c r="C43" s="32"/>
      <c r="D43" s="32" t="str">
        <f>IF(B43="","",(VLOOKUP($B$37:$B$46,Lab_tests!$H$6:$I$47,2,FALSE)))</f>
        <v/>
      </c>
      <c r="E43" s="32" t="str">
        <f t="shared" si="3"/>
        <v/>
      </c>
    </row>
    <row r="44" spans="2:5" x14ac:dyDescent="0.25">
      <c r="B44" s="31"/>
      <c r="C44" s="32"/>
      <c r="D44" s="32" t="str">
        <f>IF(B44="","",(VLOOKUP($B$37:$B$46,Lab_tests!$H$6:$I$47,2,FALSE)))</f>
        <v/>
      </c>
      <c r="E44" s="32" t="str">
        <f t="shared" si="3"/>
        <v/>
      </c>
    </row>
    <row r="45" spans="2:5" x14ac:dyDescent="0.25">
      <c r="B45" s="31"/>
      <c r="C45" s="32"/>
      <c r="D45" s="32" t="str">
        <f>IF(B45="","",(VLOOKUP($B$37:$B$46,Lab_tests!$H$6:$I$47,2,FALSE)))</f>
        <v/>
      </c>
      <c r="E45" s="32" t="str">
        <f t="shared" si="3"/>
        <v/>
      </c>
    </row>
    <row r="46" spans="2:5" x14ac:dyDescent="0.25">
      <c r="B46" s="31"/>
      <c r="C46" s="32"/>
      <c r="D46" s="32" t="str">
        <f>IF(B46="","",(VLOOKUP($B$37:$B$46,Lab_tests!$H$6:$I$47,2,FALSE)))</f>
        <v/>
      </c>
      <c r="E46" s="32" t="str">
        <f t="shared" si="3"/>
        <v/>
      </c>
    </row>
    <row r="47" spans="2:5" x14ac:dyDescent="0.25">
      <c r="B47" s="10" t="s">
        <v>8</v>
      </c>
      <c r="C47" s="11"/>
      <c r="D47" s="11"/>
      <c r="E47" s="34">
        <f>SUM(E37:E43)</f>
        <v>0</v>
      </c>
    </row>
  </sheetData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2"/>
  <sheetViews>
    <sheetView showGridLines="0" topLeftCell="A45" zoomScale="115" zoomScaleNormal="115" workbookViewId="0">
      <selection activeCell="B73" sqref="B73"/>
    </sheetView>
  </sheetViews>
  <sheetFormatPr defaultRowHeight="15" x14ac:dyDescent="0.25"/>
  <cols>
    <col min="2" max="2" width="58.28515625" bestFit="1" customWidth="1"/>
    <col min="3" max="3" width="8.140625" bestFit="1" customWidth="1"/>
    <col min="4" max="4" width="11.28515625" bestFit="1" customWidth="1"/>
    <col min="5" max="5" width="10.42578125" hidden="1" customWidth="1"/>
    <col min="6" max="7" width="10.42578125" bestFit="1" customWidth="1"/>
    <col min="8" max="8" width="8.42578125" bestFit="1" customWidth="1"/>
    <col min="9" max="9" width="8.5703125" bestFit="1" customWidth="1"/>
    <col min="10" max="10" width="8.28515625" bestFit="1" customWidth="1"/>
    <col min="11" max="11" width="10.42578125" bestFit="1" customWidth="1"/>
    <col min="12" max="12" width="8.7109375" style="1" hidden="1" customWidth="1"/>
    <col min="13" max="13" width="10.42578125" style="1" bestFit="1" customWidth="1"/>
  </cols>
  <sheetData>
    <row r="3" spans="2:13" ht="15.75" customHeight="1" x14ac:dyDescent="0.25">
      <c r="B3" s="227" t="s">
        <v>23</v>
      </c>
      <c r="C3" s="226" t="s">
        <v>24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2:13" ht="30" x14ac:dyDescent="0.25">
      <c r="B4" s="227"/>
      <c r="C4" s="7" t="s">
        <v>137</v>
      </c>
      <c r="D4" s="7" t="s">
        <v>246</v>
      </c>
      <c r="E4" s="7" t="s">
        <v>139</v>
      </c>
      <c r="F4" s="7" t="s">
        <v>141</v>
      </c>
      <c r="G4" s="7" t="s">
        <v>142</v>
      </c>
      <c r="H4" s="8" t="s">
        <v>134</v>
      </c>
      <c r="I4" s="8" t="s">
        <v>143</v>
      </c>
      <c r="J4" s="7" t="s">
        <v>135</v>
      </c>
      <c r="K4" s="7" t="s">
        <v>144</v>
      </c>
      <c r="L4" s="9" t="s">
        <v>138</v>
      </c>
      <c r="M4" s="9" t="s">
        <v>140</v>
      </c>
    </row>
    <row r="5" spans="2:13" x14ac:dyDescent="0.25">
      <c r="B5" s="3" t="s">
        <v>25</v>
      </c>
      <c r="C5" s="23">
        <f>SUM(C6:C9)</f>
        <v>10</v>
      </c>
      <c r="D5" s="23">
        <f t="shared" ref="D5:M5" si="0">SUM(D6:D9)</f>
        <v>80</v>
      </c>
      <c r="E5" s="23">
        <f t="shared" si="0"/>
        <v>0</v>
      </c>
      <c r="F5" s="23">
        <f t="shared" si="0"/>
        <v>15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</row>
    <row r="6" spans="2:13" x14ac:dyDescent="0.25">
      <c r="B6" s="4" t="s">
        <v>26</v>
      </c>
      <c r="C6" s="17">
        <v>0</v>
      </c>
      <c r="D6" s="17">
        <v>20</v>
      </c>
      <c r="E6" s="17">
        <v>0</v>
      </c>
      <c r="F6" s="17">
        <v>15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2:13" x14ac:dyDescent="0.25">
      <c r="B7" s="4" t="s">
        <v>28</v>
      </c>
      <c r="C7" s="17">
        <v>0</v>
      </c>
      <c r="D7" s="17">
        <v>20</v>
      </c>
      <c r="E7" s="17">
        <v>0</v>
      </c>
      <c r="F7" s="25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</row>
    <row r="8" spans="2:13" x14ac:dyDescent="0.25">
      <c r="B8" s="4" t="s">
        <v>29</v>
      </c>
      <c r="C8" s="17">
        <v>10</v>
      </c>
      <c r="D8" s="17">
        <v>20</v>
      </c>
      <c r="E8" s="17">
        <v>0</v>
      </c>
      <c r="F8" s="25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2:13" x14ac:dyDescent="0.25">
      <c r="B9" s="4" t="s">
        <v>30</v>
      </c>
      <c r="C9" s="17">
        <v>0</v>
      </c>
      <c r="D9" s="17">
        <v>20</v>
      </c>
      <c r="E9" s="17">
        <v>0</v>
      </c>
      <c r="F9" s="25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2:13" x14ac:dyDescent="0.25"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x14ac:dyDescent="0.2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x14ac:dyDescent="0.25">
      <c r="B12" s="5" t="s">
        <v>31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x14ac:dyDescent="0.25">
      <c r="B13" s="4" t="s">
        <v>32</v>
      </c>
      <c r="C13" s="15">
        <v>0</v>
      </c>
      <c r="D13" s="15">
        <v>120</v>
      </c>
      <c r="E13" s="15">
        <v>0</v>
      </c>
      <c r="F13" s="15">
        <v>0</v>
      </c>
      <c r="G13" s="15">
        <v>0</v>
      </c>
      <c r="H13" s="15">
        <v>0</v>
      </c>
      <c r="I13" s="15">
        <v>120</v>
      </c>
      <c r="J13" s="15">
        <v>0</v>
      </c>
      <c r="K13" s="15">
        <v>0</v>
      </c>
      <c r="L13" s="27">
        <v>0</v>
      </c>
      <c r="M13" s="27">
        <v>0</v>
      </c>
    </row>
    <row r="14" spans="2:13" x14ac:dyDescent="0.25">
      <c r="B14" s="4" t="s">
        <v>33</v>
      </c>
      <c r="C14" s="15">
        <v>15</v>
      </c>
      <c r="D14" s="15">
        <v>120</v>
      </c>
      <c r="E14" s="15">
        <v>0</v>
      </c>
      <c r="F14" s="15">
        <v>0</v>
      </c>
      <c r="G14" s="15">
        <v>0</v>
      </c>
      <c r="H14" s="15">
        <v>0</v>
      </c>
      <c r="I14" s="15">
        <v>120</v>
      </c>
      <c r="J14" s="15">
        <v>0</v>
      </c>
      <c r="K14" s="15">
        <v>0</v>
      </c>
      <c r="L14" s="27">
        <v>0</v>
      </c>
      <c r="M14" s="27">
        <v>0</v>
      </c>
    </row>
    <row r="15" spans="2:13" x14ac:dyDescent="0.25">
      <c r="B15" s="5" t="s">
        <v>255</v>
      </c>
      <c r="C15" s="26">
        <f>SUM(C16:C17)</f>
        <v>10</v>
      </c>
      <c r="D15" s="26">
        <f t="shared" ref="D15:M15" si="1">SUM(D16:D17)</f>
        <v>45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0</v>
      </c>
      <c r="M15" s="26">
        <f t="shared" si="1"/>
        <v>0</v>
      </c>
    </row>
    <row r="16" spans="2:13" x14ac:dyDescent="0.25">
      <c r="B16" s="4" t="s">
        <v>26</v>
      </c>
      <c r="C16" s="15">
        <v>10</v>
      </c>
      <c r="D16" s="15">
        <v>20</v>
      </c>
      <c r="E16" s="15"/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x14ac:dyDescent="0.25">
      <c r="B17" s="4" t="s">
        <v>28</v>
      </c>
      <c r="C17" s="27">
        <v>0</v>
      </c>
      <c r="D17" s="15">
        <v>25</v>
      </c>
      <c r="E17" s="15"/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idden="1" x14ac:dyDescent="0.25">
      <c r="B18" s="4" t="s">
        <v>35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/>
      <c r="M18" s="15"/>
    </row>
    <row r="19" spans="2:13" hidden="1" x14ac:dyDescent="0.25">
      <c r="B19" s="4" t="s">
        <v>261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/>
      <c r="M19" s="15"/>
    </row>
    <row r="20" spans="2:13" x14ac:dyDescent="0.25">
      <c r="B20" s="5" t="s">
        <v>36</v>
      </c>
      <c r="C20" s="26">
        <f>SUM(C22:C23)</f>
        <v>5</v>
      </c>
      <c r="D20" s="26">
        <f t="shared" ref="D20:M20" si="2">SUM(D22:D23)</f>
        <v>30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6">
        <f t="shared" si="2"/>
        <v>0</v>
      </c>
      <c r="L20" s="26">
        <f t="shared" si="2"/>
        <v>0</v>
      </c>
      <c r="M20" s="26">
        <f t="shared" si="2"/>
        <v>0</v>
      </c>
    </row>
    <row r="21" spans="2:13" hidden="1" x14ac:dyDescent="0.25">
      <c r="B21" s="4" t="s">
        <v>37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/>
      <c r="M21" s="16"/>
    </row>
    <row r="22" spans="2:13" x14ac:dyDescent="0.25">
      <c r="B22" s="4" t="s">
        <v>38</v>
      </c>
      <c r="C22" s="16">
        <v>5</v>
      </c>
      <c r="D22" s="16">
        <v>15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60" x14ac:dyDescent="0.25">
      <c r="B23" s="6" t="s">
        <v>262</v>
      </c>
      <c r="C23" s="16">
        <v>0</v>
      </c>
      <c r="D23" s="16">
        <v>15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x14ac:dyDescent="0.25">
      <c r="B24" s="5" t="s">
        <v>39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 x14ac:dyDescent="0.25">
      <c r="B25" s="4" t="s">
        <v>40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>
        <v>0</v>
      </c>
    </row>
    <row r="26" spans="2:13" x14ac:dyDescent="0.25">
      <c r="B26" s="24" t="s">
        <v>41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2:13" x14ac:dyDescent="0.25">
      <c r="B27" s="4" t="s">
        <v>42</v>
      </c>
      <c r="C27" s="15">
        <v>0</v>
      </c>
      <c r="D27" s="15">
        <f>10+5</f>
        <v>15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/>
      <c r="M27" s="15"/>
    </row>
    <row r="28" spans="2:13" x14ac:dyDescent="0.25">
      <c r="B28" s="4" t="s">
        <v>43</v>
      </c>
      <c r="C28" s="15">
        <f>15+5</f>
        <v>20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/>
      <c r="M28" s="15"/>
    </row>
    <row r="29" spans="2:13" hidden="1" x14ac:dyDescent="0.25">
      <c r="B29" s="4" t="s">
        <v>44</v>
      </c>
      <c r="C29" s="15">
        <v>35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</row>
    <row r="30" spans="2:13" hidden="1" x14ac:dyDescent="0.25">
      <c r="B30" s="4" t="s">
        <v>45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</row>
    <row r="31" spans="2:13" x14ac:dyDescent="0.25">
      <c r="B31" s="4" t="s">
        <v>46</v>
      </c>
      <c r="C31" s="15">
        <f>15+5</f>
        <v>20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</row>
    <row r="32" spans="2:13" x14ac:dyDescent="0.25">
      <c r="B32" s="4" t="s">
        <v>47</v>
      </c>
      <c r="C32" s="15">
        <f>15+5</f>
        <v>20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</row>
    <row r="33" spans="2:13" hidden="1" x14ac:dyDescent="0.25">
      <c r="B33" s="4" t="s">
        <v>48</v>
      </c>
      <c r="C33" s="15">
        <v>10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</row>
    <row r="34" spans="2:13" x14ac:dyDescent="0.25">
      <c r="B34" s="24" t="s">
        <v>49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</row>
    <row r="35" spans="2:13" x14ac:dyDescent="0.25">
      <c r="B35" s="30" t="s">
        <v>271</v>
      </c>
      <c r="C35" s="15">
        <v>0</v>
      </c>
      <c r="D35" s="15">
        <v>15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</row>
    <row r="36" spans="2:13" x14ac:dyDescent="0.25">
      <c r="B36" s="30" t="s">
        <v>270</v>
      </c>
      <c r="C36" s="15">
        <v>0</v>
      </c>
      <c r="D36" s="15">
        <v>15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</row>
    <row r="37" spans="2:13" hidden="1" x14ac:dyDescent="0.25">
      <c r="B37" s="4" t="s">
        <v>50</v>
      </c>
      <c r="C37" s="15">
        <v>20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</row>
    <row r="38" spans="2:13" x14ac:dyDescent="0.25">
      <c r="B38" s="4" t="s">
        <v>51</v>
      </c>
      <c r="C38" s="15">
        <v>15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</row>
    <row r="39" spans="2:13" hidden="1" x14ac:dyDescent="0.25">
      <c r="B39" s="4" t="s">
        <v>52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/>
      <c r="M39" s="15"/>
    </row>
    <row r="40" spans="2:13" x14ac:dyDescent="0.25">
      <c r="B40" s="4" t="s">
        <v>53</v>
      </c>
      <c r="C40" s="15">
        <v>15</v>
      </c>
      <c r="D40" s="15">
        <v>0</v>
      </c>
      <c r="E40" s="15">
        <v>0</v>
      </c>
      <c r="F40" s="15">
        <v>10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/>
    </row>
    <row r="41" spans="2:13" hidden="1" x14ac:dyDescent="0.25">
      <c r="B41" s="4" t="s">
        <v>54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</row>
    <row r="42" spans="2:13" x14ac:dyDescent="0.25">
      <c r="B42" s="4" t="s">
        <v>55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/>
      <c r="M42" s="15"/>
    </row>
    <row r="43" spans="2:13" x14ac:dyDescent="0.25">
      <c r="B43" s="5" t="s">
        <v>56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x14ac:dyDescent="0.25">
      <c r="B44" s="4" t="s">
        <v>57</v>
      </c>
      <c r="C44" s="15">
        <v>0</v>
      </c>
      <c r="D44" s="15">
        <v>15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/>
      <c r="M44" s="15"/>
    </row>
    <row r="45" spans="2:13" x14ac:dyDescent="0.25">
      <c r="B45" s="5" t="s">
        <v>58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idden="1" x14ac:dyDescent="0.25">
      <c r="B46" s="4" t="s">
        <v>59</v>
      </c>
      <c r="C46" s="15">
        <v>0</v>
      </c>
      <c r="D46" s="15">
        <v>15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</row>
    <row r="47" spans="2:13" hidden="1" x14ac:dyDescent="0.25">
      <c r="B47" s="30" t="s">
        <v>60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</row>
    <row r="48" spans="2:13" x14ac:dyDescent="0.25">
      <c r="B48" s="4" t="s">
        <v>61</v>
      </c>
      <c r="C48" s="15">
        <v>0</v>
      </c>
      <c r="D48" s="15">
        <v>30</v>
      </c>
      <c r="E48" s="15">
        <v>0</v>
      </c>
      <c r="F48" s="15">
        <v>10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</row>
    <row r="49" spans="2:13" x14ac:dyDescent="0.25">
      <c r="B49" s="4" t="s">
        <v>62</v>
      </c>
      <c r="C49" s="15">
        <v>0</v>
      </c>
      <c r="D49" s="15">
        <v>35</v>
      </c>
      <c r="E49" s="15">
        <v>0</v>
      </c>
      <c r="F49" s="15">
        <v>10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</row>
    <row r="50" spans="2:13" x14ac:dyDescent="0.25">
      <c r="B50" s="4" t="s">
        <v>63</v>
      </c>
      <c r="C50" s="15">
        <v>0</v>
      </c>
      <c r="D50" s="15">
        <v>30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/>
      <c r="M50" s="15"/>
    </row>
    <row r="51" spans="2:13" hidden="1" x14ac:dyDescent="0.25">
      <c r="B51" s="5" t="s">
        <v>64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3" hidden="1" x14ac:dyDescent="0.25">
      <c r="B52" s="4" t="s">
        <v>65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/>
      <c r="M52" s="15"/>
    </row>
    <row r="53" spans="2:13" hidden="1" x14ac:dyDescent="0.25">
      <c r="B53" s="4" t="s">
        <v>66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/>
      <c r="M53" s="15"/>
    </row>
    <row r="54" spans="2:13" hidden="1" x14ac:dyDescent="0.25">
      <c r="B54" s="4" t="s">
        <v>67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/>
      <c r="M54" s="15"/>
    </row>
    <row r="55" spans="2:13" hidden="1" x14ac:dyDescent="0.25">
      <c r="B55" s="5" t="s">
        <v>68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2:13" hidden="1" x14ac:dyDescent="0.25">
      <c r="B56" s="4" t="s">
        <v>69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/>
    </row>
    <row r="57" spans="2:13" hidden="1" x14ac:dyDescent="0.25">
      <c r="B57" s="4" t="s">
        <v>70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/>
    </row>
    <row r="58" spans="2:13" hidden="1" x14ac:dyDescent="0.25">
      <c r="B58" s="4" t="s">
        <v>71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/>
    </row>
    <row r="59" spans="2:13" hidden="1" x14ac:dyDescent="0.25">
      <c r="B59" s="4" t="s">
        <v>72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</row>
    <row r="60" spans="2:13" hidden="1" x14ac:dyDescent="0.25">
      <c r="B60" s="4" t="s">
        <v>73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/>
    </row>
    <row r="61" spans="2:13" hidden="1" x14ac:dyDescent="0.25">
      <c r="B61" s="4" t="s">
        <v>74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/>
      <c r="M61" s="15"/>
    </row>
    <row r="62" spans="2:13" hidden="1" x14ac:dyDescent="0.25">
      <c r="B62" s="4" t="s">
        <v>75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/>
      <c r="M62" s="15"/>
    </row>
    <row r="63" spans="2:13" x14ac:dyDescent="0.25">
      <c r="B63" s="5" t="s">
        <v>76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2:13" x14ac:dyDescent="0.25">
      <c r="B64" s="4" t="s">
        <v>77</v>
      </c>
      <c r="C64" s="15">
        <v>10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/>
      <c r="M64" s="15"/>
    </row>
    <row r="65" spans="2:13" x14ac:dyDescent="0.25">
      <c r="B65" s="4" t="s">
        <v>78</v>
      </c>
      <c r="C65" s="15">
        <v>10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/>
    </row>
    <row r="66" spans="2:13" x14ac:dyDescent="0.25">
      <c r="B66" s="4" t="s">
        <v>79</v>
      </c>
      <c r="C66" s="15">
        <v>20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</row>
    <row r="67" spans="2:13" x14ac:dyDescent="0.25">
      <c r="B67" s="4" t="s">
        <v>80</v>
      </c>
      <c r="C67" s="15">
        <v>20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/>
      <c r="M67" s="15"/>
    </row>
    <row r="68" spans="2:13" x14ac:dyDescent="0.25">
      <c r="B68" s="4" t="s">
        <v>81</v>
      </c>
      <c r="C68" s="15">
        <v>15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/>
      <c r="M68" s="15"/>
    </row>
    <row r="69" spans="2:13" x14ac:dyDescent="0.25">
      <c r="B69" s="4" t="s">
        <v>82</v>
      </c>
      <c r="C69" s="15">
        <v>15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/>
      <c r="M69" s="15"/>
    </row>
    <row r="70" spans="2:13" x14ac:dyDescent="0.25">
      <c r="B70" s="4" t="s">
        <v>51</v>
      </c>
      <c r="C70" s="15">
        <v>15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/>
      <c r="M70" s="15"/>
    </row>
    <row r="71" spans="2:13" x14ac:dyDescent="0.25">
      <c r="B71" s="4" t="s">
        <v>83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/>
      <c r="M71" s="15"/>
    </row>
    <row r="72" spans="2:13" x14ac:dyDescent="0.25">
      <c r="B72" s="4" t="s">
        <v>84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/>
      <c r="M72" s="15"/>
    </row>
    <row r="73" spans="2:13" x14ac:dyDescent="0.25">
      <c r="B73" s="4" t="s">
        <v>263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/>
      <c r="M73" s="15"/>
    </row>
    <row r="74" spans="2:13" x14ac:dyDescent="0.25">
      <c r="B74" s="4" t="s">
        <v>264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</row>
    <row r="75" spans="2:13" x14ac:dyDescent="0.25">
      <c r="B75" s="4" t="s">
        <v>85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/>
    </row>
    <row r="76" spans="2:13" x14ac:dyDescent="0.25">
      <c r="B76" s="4" t="s">
        <v>86</v>
      </c>
      <c r="C76" s="15">
        <v>10</v>
      </c>
      <c r="D76" s="15">
        <v>0</v>
      </c>
      <c r="E76" s="15">
        <v>0</v>
      </c>
      <c r="F76" s="15">
        <v>10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/>
    </row>
    <row r="77" spans="2:13" x14ac:dyDescent="0.25">
      <c r="B77" s="4" t="s">
        <v>87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/>
    </row>
    <row r="78" spans="2:13" x14ac:dyDescent="0.25">
      <c r="B78" s="4" t="s">
        <v>88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/>
      <c r="M78" s="15"/>
    </row>
    <row r="79" spans="2:13" x14ac:dyDescent="0.25">
      <c r="B79" s="4" t="s">
        <v>89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/>
      <c r="M79" s="15"/>
    </row>
    <row r="80" spans="2:13" x14ac:dyDescent="0.25">
      <c r="B80" s="4" t="s">
        <v>90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/>
      <c r="M80" s="15"/>
    </row>
    <row r="81" spans="2:13" x14ac:dyDescent="0.25">
      <c r="B81" s="4" t="s">
        <v>91</v>
      </c>
      <c r="C81" s="15">
        <v>10</v>
      </c>
      <c r="D81" s="15">
        <v>20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/>
      <c r="M81" s="15"/>
    </row>
    <row r="82" spans="2:13" x14ac:dyDescent="0.25">
      <c r="B82" s="4" t="s">
        <v>92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/>
      <c r="M82" s="15"/>
    </row>
    <row r="83" spans="2:13" x14ac:dyDescent="0.25">
      <c r="B83" s="4" t="s">
        <v>93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/>
      <c r="M83" s="15"/>
    </row>
    <row r="84" spans="2:13" x14ac:dyDescent="0.25">
      <c r="B84" s="30" t="s">
        <v>94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/>
      <c r="M84" s="15"/>
    </row>
    <row r="85" spans="2:13" x14ac:dyDescent="0.25">
      <c r="B85" s="4" t="s">
        <v>95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/>
      <c r="M85" s="15"/>
    </row>
    <row r="86" spans="2:13" x14ac:dyDescent="0.25">
      <c r="B86" s="4" t="s">
        <v>96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/>
      <c r="M86" s="15"/>
    </row>
    <row r="87" spans="2:13" x14ac:dyDescent="0.25">
      <c r="B87" s="5" t="s">
        <v>97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x14ac:dyDescent="0.25">
      <c r="B88" s="4" t="s">
        <v>98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/>
      <c r="M88" s="15"/>
    </row>
    <row r="89" spans="2:13" x14ac:dyDescent="0.25">
      <c r="B89" s="4" t="s">
        <v>99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/>
      <c r="M89" s="15"/>
    </row>
    <row r="90" spans="2:13" x14ac:dyDescent="0.25">
      <c r="B90" s="4" t="s">
        <v>100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/>
      <c r="M90" s="15"/>
    </row>
    <row r="91" spans="2:13" x14ac:dyDescent="0.25">
      <c r="B91" s="4" t="s">
        <v>101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/>
      <c r="M91" s="15"/>
    </row>
    <row r="92" spans="2:13" x14ac:dyDescent="0.25">
      <c r="B92" s="4" t="s">
        <v>102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/>
      <c r="M92" s="15"/>
    </row>
    <row r="93" spans="2:13" x14ac:dyDescent="0.25">
      <c r="B93" s="4" t="s">
        <v>103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/>
      <c r="M93" s="15"/>
    </row>
    <row r="94" spans="2:13" x14ac:dyDescent="0.25">
      <c r="B94" s="4" t="s">
        <v>104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/>
      <c r="M94" s="15"/>
    </row>
    <row r="95" spans="2:13" x14ac:dyDescent="0.25">
      <c r="B95" s="4" t="s">
        <v>105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/>
      <c r="M95" s="15"/>
    </row>
    <row r="96" spans="2:13" x14ac:dyDescent="0.25">
      <c r="B96" s="4" t="s">
        <v>106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/>
      <c r="M96" s="15"/>
    </row>
    <row r="97" spans="2:13" x14ac:dyDescent="0.25">
      <c r="B97" s="4" t="s">
        <v>107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/>
      <c r="M97" s="15"/>
    </row>
    <row r="98" spans="2:13" x14ac:dyDescent="0.25">
      <c r="B98" s="5" t="s">
        <v>108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x14ac:dyDescent="0.25">
      <c r="B99" s="4" t="s">
        <v>109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/>
      <c r="M99" s="15"/>
    </row>
    <row r="100" spans="2:13" x14ac:dyDescent="0.25">
      <c r="B100" s="4" t="s">
        <v>110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/>
      <c r="M100" s="15"/>
    </row>
    <row r="101" spans="2:13" x14ac:dyDescent="0.25">
      <c r="B101" s="4" t="s">
        <v>111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/>
      <c r="M101" s="15"/>
    </row>
    <row r="102" spans="2:13" x14ac:dyDescent="0.25">
      <c r="B102" s="4" t="s">
        <v>112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/>
      <c r="M102" s="15"/>
    </row>
    <row r="103" spans="2:13" x14ac:dyDescent="0.25">
      <c r="B103" s="4" t="s">
        <v>113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/>
      <c r="M103" s="15"/>
    </row>
    <row r="104" spans="2:13" x14ac:dyDescent="0.25">
      <c r="B104" s="4" t="s">
        <v>114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/>
      <c r="M104" s="15"/>
    </row>
    <row r="105" spans="2:13" x14ac:dyDescent="0.25">
      <c r="B105" s="4" t="s">
        <v>115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/>
      <c r="M105" s="15"/>
    </row>
    <row r="106" spans="2:13" x14ac:dyDescent="0.25">
      <c r="B106" s="4" t="s">
        <v>116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/>
      <c r="M106" s="15"/>
    </row>
    <row r="107" spans="2:13" x14ac:dyDescent="0.25">
      <c r="B107" s="5" t="s">
        <v>117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x14ac:dyDescent="0.25">
      <c r="B108" s="4" t="s">
        <v>118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/>
      <c r="M108" s="15"/>
    </row>
    <row r="109" spans="2:13" x14ac:dyDescent="0.25">
      <c r="B109" s="4" t="s">
        <v>119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/>
      <c r="M109" s="15"/>
    </row>
    <row r="110" spans="2:13" x14ac:dyDescent="0.25">
      <c r="B110" s="4" t="s">
        <v>265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/>
      <c r="M110" s="15"/>
    </row>
    <row r="111" spans="2:13" x14ac:dyDescent="0.25">
      <c r="B111" s="4" t="s">
        <v>120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/>
      <c r="M111" s="15"/>
    </row>
    <row r="112" spans="2:13" x14ac:dyDescent="0.25">
      <c r="B112" s="4" t="s">
        <v>121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/>
      <c r="M112" s="15"/>
    </row>
    <row r="113" spans="2:13" x14ac:dyDescent="0.25">
      <c r="B113" s="4" t="s">
        <v>122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/>
      <c r="M113" s="15"/>
    </row>
    <row r="114" spans="2:13" x14ac:dyDescent="0.25">
      <c r="B114" s="4" t="s">
        <v>123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/>
      <c r="M114" s="15"/>
    </row>
    <row r="115" spans="2:13" x14ac:dyDescent="0.25">
      <c r="B115" s="4" t="s">
        <v>124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/>
      <c r="M115" s="15"/>
    </row>
    <row r="116" spans="2:13" x14ac:dyDescent="0.25">
      <c r="B116" s="4" t="s">
        <v>125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/>
      <c r="M116" s="15"/>
    </row>
    <row r="117" spans="2:13" x14ac:dyDescent="0.25">
      <c r="B117" s="4" t="s">
        <v>126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/>
      <c r="M117" s="15"/>
    </row>
    <row r="118" spans="2:13" x14ac:dyDescent="0.25">
      <c r="B118" s="5" t="s">
        <v>127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x14ac:dyDescent="0.25">
      <c r="B119" s="30" t="s">
        <v>128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/>
      <c r="M119" s="15"/>
    </row>
    <row r="120" spans="2:13" x14ac:dyDescent="0.25">
      <c r="B120" s="4" t="s">
        <v>129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/>
      <c r="M120" s="15"/>
    </row>
    <row r="121" spans="2:13" x14ac:dyDescent="0.25">
      <c r="B121" s="4" t="s">
        <v>130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/>
      <c r="M121" s="15"/>
    </row>
    <row r="122" spans="2:13" x14ac:dyDescent="0.25">
      <c r="B122" s="4" t="s">
        <v>131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/>
      <c r="M122" s="15"/>
    </row>
  </sheetData>
  <mergeCells count="2">
    <mergeCell ref="C3:M3"/>
    <mergeCell ref="B3:B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7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22.85546875" style="19" hidden="1" customWidth="1"/>
    <col min="2" max="2" width="3.42578125" style="19" customWidth="1"/>
    <col min="3" max="3" width="36.5703125" style="19" bestFit="1" customWidth="1"/>
    <col min="4" max="4" width="8.140625" style="19" bestFit="1" customWidth="1"/>
    <col min="5" max="5" width="11.28515625" style="19" bestFit="1" customWidth="1"/>
    <col min="6" max="6" width="10.42578125" style="19" customWidth="1"/>
    <col min="7" max="8" width="10.42578125" style="19" bestFit="1" customWidth="1"/>
    <col min="9" max="9" width="8.42578125" style="19" customWidth="1"/>
    <col min="10" max="10" width="8.5703125" style="19" bestFit="1" customWidth="1"/>
    <col min="11" max="11" width="8.28515625" style="19" customWidth="1"/>
    <col min="12" max="12" width="10.42578125" style="19" customWidth="1"/>
    <col min="13" max="13" width="8.7109375" style="19" customWidth="1"/>
    <col min="14" max="14" width="10.42578125" style="19" bestFit="1" customWidth="1"/>
    <col min="15" max="16384" width="9.140625" style="19"/>
  </cols>
  <sheetData>
    <row r="3" spans="1:14" x14ac:dyDescent="0.25">
      <c r="C3" s="228" t="s">
        <v>303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</row>
    <row r="4" spans="1:14" ht="30" x14ac:dyDescent="0.25">
      <c r="C4" s="37" t="s">
        <v>23</v>
      </c>
      <c r="D4" s="7" t="s">
        <v>137</v>
      </c>
      <c r="E4" s="7" t="s">
        <v>246</v>
      </c>
      <c r="F4" s="7" t="s">
        <v>139</v>
      </c>
      <c r="G4" s="7" t="s">
        <v>141</v>
      </c>
      <c r="H4" s="7" t="s">
        <v>142</v>
      </c>
      <c r="I4" s="7" t="s">
        <v>134</v>
      </c>
      <c r="J4" s="7" t="s">
        <v>143</v>
      </c>
      <c r="K4" s="7" t="s">
        <v>135</v>
      </c>
      <c r="L4" s="7" t="s">
        <v>144</v>
      </c>
      <c r="M4" s="7" t="s">
        <v>138</v>
      </c>
      <c r="N4" s="7" t="s">
        <v>140</v>
      </c>
    </row>
    <row r="5" spans="1:14" x14ac:dyDescent="0.25">
      <c r="C5" s="32" t="s">
        <v>253</v>
      </c>
      <c r="D5" s="32">
        <v>10</v>
      </c>
      <c r="E5" s="32">
        <v>80</v>
      </c>
      <c r="F5" s="32">
        <v>10</v>
      </c>
      <c r="G5" s="32">
        <v>15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</row>
    <row r="6" spans="1:14" x14ac:dyDescent="0.25">
      <c r="C6" s="32" t="s">
        <v>257</v>
      </c>
      <c r="D6" s="32">
        <v>0</v>
      </c>
      <c r="E6" s="32">
        <v>120</v>
      </c>
      <c r="F6" s="32">
        <v>5</v>
      </c>
      <c r="G6" s="32">
        <v>0</v>
      </c>
      <c r="H6" s="32">
        <v>0</v>
      </c>
      <c r="I6" s="32">
        <v>0</v>
      </c>
      <c r="J6" s="32">
        <v>120</v>
      </c>
      <c r="K6" s="32">
        <v>0</v>
      </c>
      <c r="L6" s="32">
        <v>0</v>
      </c>
      <c r="M6" s="32">
        <v>0</v>
      </c>
      <c r="N6" s="32">
        <v>0</v>
      </c>
    </row>
    <row r="7" spans="1:14" x14ac:dyDescent="0.25">
      <c r="C7" s="32" t="s">
        <v>258</v>
      </c>
      <c r="D7" s="32">
        <v>15</v>
      </c>
      <c r="E7" s="32">
        <v>120</v>
      </c>
      <c r="F7" s="32">
        <v>5</v>
      </c>
      <c r="G7" s="32">
        <v>0</v>
      </c>
      <c r="H7" s="32">
        <v>0</v>
      </c>
      <c r="I7" s="32">
        <v>0</v>
      </c>
      <c r="J7" s="32">
        <v>120</v>
      </c>
      <c r="K7" s="32">
        <v>0</v>
      </c>
      <c r="L7" s="32">
        <v>0</v>
      </c>
      <c r="M7" s="32">
        <v>0</v>
      </c>
      <c r="N7" s="32">
        <v>0</v>
      </c>
    </row>
    <row r="8" spans="1:14" x14ac:dyDescent="0.25">
      <c r="C8" s="32" t="s">
        <v>254</v>
      </c>
      <c r="D8" s="32">
        <v>10</v>
      </c>
      <c r="E8" s="32">
        <v>45</v>
      </c>
      <c r="F8" s="32">
        <v>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x14ac:dyDescent="0.25">
      <c r="C9" s="32" t="s">
        <v>256</v>
      </c>
      <c r="D9" s="32">
        <v>5</v>
      </c>
      <c r="E9" s="32">
        <v>30</v>
      </c>
      <c r="F9" s="32">
        <v>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</row>
    <row r="10" spans="1:14" x14ac:dyDescent="0.2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19" t="s">
        <v>260</v>
      </c>
      <c r="C11" s="32" t="s">
        <v>259</v>
      </c>
      <c r="D11" s="32">
        <v>0</v>
      </c>
      <c r="E11" s="32">
        <v>15</v>
      </c>
      <c r="F11" s="32">
        <v>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</row>
    <row r="12" spans="1:14" x14ac:dyDescent="0.25">
      <c r="C12" s="32" t="s">
        <v>266</v>
      </c>
      <c r="D12" s="32">
        <v>20</v>
      </c>
      <c r="E12" s="32">
        <v>0</v>
      </c>
      <c r="F12" s="32">
        <v>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</row>
    <row r="13" spans="1:14" x14ac:dyDescent="0.25">
      <c r="C13" s="32" t="s">
        <v>267</v>
      </c>
      <c r="D13" s="32">
        <v>20</v>
      </c>
      <c r="E13" s="32">
        <v>0</v>
      </c>
      <c r="F13" s="32">
        <v>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</row>
    <row r="14" spans="1:14" x14ac:dyDescent="0.25">
      <c r="C14" s="32" t="s">
        <v>268</v>
      </c>
      <c r="D14" s="32">
        <v>20</v>
      </c>
      <c r="E14" s="32">
        <v>0</v>
      </c>
      <c r="F14" s="32">
        <v>5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spans="1:14" x14ac:dyDescent="0.2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19" t="s">
        <v>269</v>
      </c>
      <c r="C16" s="32" t="s">
        <v>272</v>
      </c>
      <c r="D16" s="32">
        <v>0</v>
      </c>
      <c r="E16" s="32">
        <v>15</v>
      </c>
      <c r="F16" s="32">
        <v>5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</row>
    <row r="17" spans="1:14" x14ac:dyDescent="0.25">
      <c r="C17" s="32" t="s">
        <v>273</v>
      </c>
      <c r="D17" s="32">
        <v>0</v>
      </c>
      <c r="E17" s="32">
        <v>15</v>
      </c>
      <c r="F17" s="32">
        <v>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x14ac:dyDescent="0.25">
      <c r="C18" s="32" t="s">
        <v>51</v>
      </c>
      <c r="D18" s="32">
        <v>15</v>
      </c>
      <c r="E18" s="32">
        <v>0</v>
      </c>
      <c r="F18" s="32">
        <v>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</row>
    <row r="19" spans="1:14" x14ac:dyDescent="0.2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C20" s="32" t="s">
        <v>274</v>
      </c>
      <c r="D20" s="32">
        <v>15</v>
      </c>
      <c r="E20" s="32">
        <v>0</v>
      </c>
      <c r="F20" s="32">
        <v>5</v>
      </c>
      <c r="G20" s="32">
        <v>10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</row>
    <row r="21" spans="1:14" x14ac:dyDescent="0.2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19" t="s">
        <v>58</v>
      </c>
      <c r="C22" s="32" t="s">
        <v>281</v>
      </c>
      <c r="D22" s="32">
        <v>0</v>
      </c>
      <c r="E22" s="32">
        <v>30</v>
      </c>
      <c r="F22" s="32">
        <v>5</v>
      </c>
      <c r="G22" s="32">
        <v>10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1:14" x14ac:dyDescent="0.25">
      <c r="C23" s="32" t="s">
        <v>280</v>
      </c>
      <c r="D23" s="32">
        <v>0</v>
      </c>
      <c r="E23" s="32">
        <v>5</v>
      </c>
      <c r="F23" s="32">
        <v>5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/>
      <c r="N23" s="32">
        <v>0</v>
      </c>
    </row>
    <row r="24" spans="1:14" x14ac:dyDescent="0.25">
      <c r="C24" s="32" t="s">
        <v>279</v>
      </c>
      <c r="D24" s="32">
        <v>0</v>
      </c>
      <c r="E24" s="32">
        <v>35</v>
      </c>
      <c r="F24" s="32">
        <v>5</v>
      </c>
      <c r="G24" s="32">
        <v>10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</row>
    <row r="25" spans="1:14" x14ac:dyDescent="0.25">
      <c r="C25" s="32" t="s">
        <v>278</v>
      </c>
      <c r="D25" s="32">
        <v>0</v>
      </c>
      <c r="E25" s="32">
        <v>8</v>
      </c>
      <c r="F25" s="32">
        <v>5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5</v>
      </c>
      <c r="N25" s="32">
        <v>0</v>
      </c>
    </row>
    <row r="26" spans="1:14" x14ac:dyDescent="0.25">
      <c r="C26" s="32" t="s">
        <v>277</v>
      </c>
      <c r="D26" s="32">
        <v>0</v>
      </c>
      <c r="E26" s="32">
        <v>30</v>
      </c>
      <c r="F26" s="32">
        <v>5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x14ac:dyDescent="0.25">
      <c r="C27" s="32" t="s">
        <v>276</v>
      </c>
      <c r="D27" s="32">
        <v>0</v>
      </c>
      <c r="E27" s="32">
        <v>5</v>
      </c>
      <c r="F27" s="32">
        <v>5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x14ac:dyDescent="0.25">
      <c r="C28" s="32" t="s">
        <v>275</v>
      </c>
      <c r="D28" s="32">
        <v>0</v>
      </c>
      <c r="E28" s="32">
        <v>20</v>
      </c>
      <c r="F28" s="32">
        <v>5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/>
      <c r="N28" s="32">
        <v>0</v>
      </c>
    </row>
    <row r="29" spans="1:14" x14ac:dyDescent="0.25">
      <c r="C29" s="32" t="s">
        <v>282</v>
      </c>
      <c r="D29" s="32">
        <v>0</v>
      </c>
      <c r="E29" s="32">
        <v>2</v>
      </c>
      <c r="F29" s="32">
        <v>5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/>
      <c r="N29" s="32">
        <v>0</v>
      </c>
    </row>
    <row r="30" spans="1:14" x14ac:dyDescent="0.2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19" t="s">
        <v>283</v>
      </c>
      <c r="C31" s="32" t="s">
        <v>284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/>
      <c r="N31" s="32">
        <v>2</v>
      </c>
    </row>
    <row r="32" spans="1:14" x14ac:dyDescent="0.25">
      <c r="C32" s="32" t="s">
        <v>285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/>
      <c r="N32" s="32">
        <v>3</v>
      </c>
    </row>
    <row r="33" spans="1:14" x14ac:dyDescent="0.25">
      <c r="C33" s="32" t="s">
        <v>286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/>
      <c r="N33" s="32">
        <v>3</v>
      </c>
    </row>
    <row r="34" spans="1:14" x14ac:dyDescent="0.25">
      <c r="C34" s="32" t="s">
        <v>287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/>
      <c r="N34" s="32">
        <v>2</v>
      </c>
    </row>
    <row r="35" spans="1:14" x14ac:dyDescent="0.2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19" t="s">
        <v>288</v>
      </c>
      <c r="C36" s="32" t="s">
        <v>77</v>
      </c>
      <c r="D36" s="32">
        <v>10</v>
      </c>
      <c r="E36" s="32">
        <v>0</v>
      </c>
      <c r="F36" s="32">
        <v>5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</row>
    <row r="37" spans="1:14" x14ac:dyDescent="0.25">
      <c r="C37" s="32" t="s">
        <v>78</v>
      </c>
      <c r="D37" s="32">
        <v>10</v>
      </c>
      <c r="E37" s="32">
        <v>0</v>
      </c>
      <c r="F37" s="32">
        <v>5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x14ac:dyDescent="0.25">
      <c r="C38" s="32" t="s">
        <v>79</v>
      </c>
      <c r="D38" s="32">
        <v>20</v>
      </c>
      <c r="E38" s="32">
        <v>0</v>
      </c>
      <c r="F38" s="32">
        <v>5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x14ac:dyDescent="0.25">
      <c r="C39" s="32" t="s">
        <v>80</v>
      </c>
      <c r="D39" s="32">
        <v>20</v>
      </c>
      <c r="E39" s="32">
        <v>0</v>
      </c>
      <c r="F39" s="32">
        <v>5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</row>
    <row r="40" spans="1:14" x14ac:dyDescent="0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19" t="s">
        <v>289</v>
      </c>
      <c r="C41" s="32" t="s">
        <v>81</v>
      </c>
      <c r="D41" s="32">
        <v>15</v>
      </c>
      <c r="E41" s="32">
        <v>0</v>
      </c>
      <c r="F41" s="32">
        <v>5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</row>
    <row r="42" spans="1:14" x14ac:dyDescent="0.25">
      <c r="C42" s="32" t="s">
        <v>82</v>
      </c>
      <c r="D42" s="32">
        <v>15</v>
      </c>
      <c r="E42" s="32">
        <v>0</v>
      </c>
      <c r="F42" s="32">
        <v>5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</row>
    <row r="43" spans="1:14" x14ac:dyDescent="0.25">
      <c r="C43" s="32" t="s">
        <v>51</v>
      </c>
      <c r="D43" s="32">
        <v>15</v>
      </c>
      <c r="E43" s="32">
        <v>0</v>
      </c>
      <c r="F43" s="32">
        <v>5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</row>
    <row r="44" spans="1:14" x14ac:dyDescent="0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19" t="s">
        <v>290</v>
      </c>
      <c r="C45" s="32" t="s">
        <v>297</v>
      </c>
      <c r="D45" s="32">
        <v>15</v>
      </c>
      <c r="E45" s="32">
        <v>0</v>
      </c>
      <c r="F45" s="32">
        <v>0</v>
      </c>
      <c r="G45" s="32">
        <v>15</v>
      </c>
      <c r="H45" s="32">
        <v>10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</row>
    <row r="46" spans="1:14" x14ac:dyDescent="0.25">
      <c r="C46" s="32" t="s">
        <v>291</v>
      </c>
      <c r="D46" s="32">
        <v>10</v>
      </c>
      <c r="E46" s="32">
        <v>100</v>
      </c>
      <c r="F46" s="32">
        <v>15</v>
      </c>
      <c r="G46" s="32">
        <v>45</v>
      </c>
      <c r="H46" s="32">
        <v>10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x14ac:dyDescent="0.25">
      <c r="C47" s="32" t="s">
        <v>292</v>
      </c>
      <c r="D47" s="32">
        <v>10</v>
      </c>
      <c r="E47" s="32">
        <v>100</v>
      </c>
      <c r="F47" s="32">
        <v>15</v>
      </c>
      <c r="G47" s="32">
        <v>45</v>
      </c>
      <c r="H47" s="32">
        <v>10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x14ac:dyDescent="0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19" t="s">
        <v>293</v>
      </c>
      <c r="C49" s="32" t="s">
        <v>296</v>
      </c>
      <c r="D49" s="32">
        <v>15</v>
      </c>
      <c r="E49" s="32">
        <v>0</v>
      </c>
      <c r="F49" s="32">
        <v>10</v>
      </c>
      <c r="G49" s="32">
        <v>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/>
      <c r="N49" s="32">
        <v>0</v>
      </c>
    </row>
    <row r="50" spans="1:14" x14ac:dyDescent="0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19" t="s">
        <v>294</v>
      </c>
      <c r="C51" s="32" t="s">
        <v>295</v>
      </c>
      <c r="D51" s="32">
        <v>30</v>
      </c>
      <c r="E51" s="32">
        <v>0</v>
      </c>
      <c r="F51" s="32">
        <v>5</v>
      </c>
      <c r="G51" s="32">
        <v>15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/>
      <c r="N51" s="32">
        <v>0</v>
      </c>
    </row>
    <row r="52" spans="1:14" x14ac:dyDescent="0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19" t="s">
        <v>298</v>
      </c>
      <c r="C53" s="32" t="s">
        <v>299</v>
      </c>
      <c r="D53" s="32">
        <v>30</v>
      </c>
      <c r="E53" s="32">
        <v>0</v>
      </c>
      <c r="F53" s="32">
        <v>5</v>
      </c>
      <c r="G53" s="32">
        <v>10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/>
      <c r="N53" s="32">
        <v>0</v>
      </c>
    </row>
    <row r="54" spans="1:14" x14ac:dyDescent="0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19" t="s">
        <v>218</v>
      </c>
      <c r="C55" s="32" t="s">
        <v>300</v>
      </c>
      <c r="D55" s="32">
        <v>30</v>
      </c>
      <c r="E55" s="32">
        <v>0</v>
      </c>
      <c r="F55" s="32">
        <v>5</v>
      </c>
      <c r="G55" s="32">
        <v>10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/>
      <c r="N55" s="32">
        <v>0</v>
      </c>
    </row>
    <row r="56" spans="1:14" x14ac:dyDescent="0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19" t="s">
        <v>301</v>
      </c>
      <c r="C57" s="32" t="s">
        <v>302</v>
      </c>
      <c r="D57" s="32">
        <v>20</v>
      </c>
      <c r="E57" s="32">
        <v>0</v>
      </c>
      <c r="F57" s="32">
        <v>5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/>
      <c r="N57" s="32">
        <v>0</v>
      </c>
    </row>
    <row r="58" spans="1:14" x14ac:dyDescent="0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C59" s="32" t="s">
        <v>537</v>
      </c>
      <c r="D59" s="32">
        <v>25</v>
      </c>
      <c r="E59" s="32"/>
      <c r="F59" s="32">
        <v>5</v>
      </c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C61" s="36" t="s">
        <v>538</v>
      </c>
      <c r="D61" s="32">
        <v>10</v>
      </c>
      <c r="E61" s="32"/>
      <c r="F61" s="32">
        <v>5</v>
      </c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x14ac:dyDescent="0.2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4:14" x14ac:dyDescent="0.2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4:14" x14ac:dyDescent="0.2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4:14" x14ac:dyDescent="0.2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</sheetData>
  <mergeCells count="1">
    <mergeCell ref="C3:N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1"/>
  <sheetViews>
    <sheetView showGridLines="0" workbookViewId="0">
      <selection activeCell="N13" sqref="N13"/>
    </sheetView>
  </sheetViews>
  <sheetFormatPr defaultRowHeight="15" x14ac:dyDescent="0.25"/>
  <cols>
    <col min="1" max="1" width="9.140625" style="61"/>
    <col min="2" max="2" width="0" style="61" hidden="1" customWidth="1"/>
    <col min="3" max="3" width="60.5703125" style="87" customWidth="1"/>
    <col min="4" max="4" width="7" style="88" bestFit="1" customWidth="1"/>
    <col min="5" max="5" width="6.42578125" style="88" bestFit="1" customWidth="1"/>
    <col min="6" max="6" width="9.28515625" style="88" customWidth="1"/>
    <col min="7" max="7" width="7" style="88" customWidth="1"/>
    <col min="8" max="8" width="9.140625" style="88" hidden="1" customWidth="1"/>
    <col min="9" max="9" width="7" style="88" bestFit="1" customWidth="1"/>
    <col min="10" max="10" width="9.140625" style="88" hidden="1" customWidth="1"/>
    <col min="11" max="11" width="9.140625" style="89"/>
    <col min="12" max="12" width="9.140625" style="90"/>
    <col min="13" max="16384" width="9.140625" style="61"/>
  </cols>
  <sheetData>
    <row r="2" spans="2:11" x14ac:dyDescent="0.25">
      <c r="C2" s="234" t="s">
        <v>512</v>
      </c>
      <c r="D2" s="231" t="s">
        <v>513</v>
      </c>
      <c r="E2" s="232"/>
      <c r="F2" s="233"/>
      <c r="G2" s="59">
        <v>0.05</v>
      </c>
    </row>
    <row r="3" spans="2:11" x14ac:dyDescent="0.25">
      <c r="C3" s="235"/>
      <c r="D3" s="231" t="s">
        <v>574</v>
      </c>
      <c r="E3" s="232"/>
      <c r="F3" s="233"/>
      <c r="G3" s="59">
        <v>0.06</v>
      </c>
    </row>
    <row r="4" spans="2:11" x14ac:dyDescent="0.25">
      <c r="C4" s="236"/>
      <c r="D4" s="231" t="s">
        <v>514</v>
      </c>
      <c r="E4" s="232"/>
      <c r="F4" s="233"/>
      <c r="G4" s="59">
        <v>0.05</v>
      </c>
    </row>
    <row r="6" spans="2:11" ht="15.75" x14ac:dyDescent="0.25">
      <c r="C6" s="202" t="s">
        <v>510</v>
      </c>
      <c r="D6" s="202"/>
      <c r="E6" s="202"/>
      <c r="F6" s="202"/>
      <c r="G6" s="202"/>
      <c r="H6" s="202"/>
      <c r="I6" s="202"/>
      <c r="J6" s="202"/>
      <c r="K6" s="202"/>
    </row>
    <row r="7" spans="2:11" ht="33.75" customHeight="1" x14ac:dyDescent="0.25">
      <c r="C7" s="237" t="s">
        <v>509</v>
      </c>
      <c r="D7" s="219" t="s">
        <v>466</v>
      </c>
      <c r="E7" s="220"/>
      <c r="F7" s="219" t="s">
        <v>468</v>
      </c>
      <c r="G7" s="230"/>
      <c r="H7" s="230"/>
      <c r="I7" s="220"/>
      <c r="J7" s="181"/>
      <c r="K7" s="237" t="s">
        <v>469</v>
      </c>
    </row>
    <row r="8" spans="2:11" ht="30" x14ac:dyDescent="0.25">
      <c r="C8" s="238"/>
      <c r="D8" s="164" t="s">
        <v>470</v>
      </c>
      <c r="E8" s="164" t="s">
        <v>3</v>
      </c>
      <c r="F8" s="164" t="s">
        <v>467</v>
      </c>
      <c r="G8" s="164" t="s">
        <v>3</v>
      </c>
      <c r="H8" s="164"/>
      <c r="I8" s="164" t="s">
        <v>511</v>
      </c>
      <c r="J8" s="182"/>
      <c r="K8" s="238"/>
    </row>
    <row r="9" spans="2:11" x14ac:dyDescent="0.25">
      <c r="B9" s="61">
        <v>4</v>
      </c>
      <c r="C9" s="65" t="s">
        <v>21</v>
      </c>
      <c r="D9" s="79"/>
      <c r="E9" s="79"/>
      <c r="F9" s="79"/>
      <c r="G9" s="91"/>
      <c r="H9" s="79"/>
      <c r="I9" s="79"/>
      <c r="J9" s="79"/>
      <c r="K9" s="92"/>
    </row>
    <row r="10" spans="2:11" x14ac:dyDescent="0.25">
      <c r="B10" s="61">
        <v>3</v>
      </c>
      <c r="C10" s="65" t="s">
        <v>312</v>
      </c>
      <c r="D10" s="79">
        <v>60</v>
      </c>
      <c r="E10" s="79" t="s">
        <v>313</v>
      </c>
      <c r="F10" s="79">
        <v>9</v>
      </c>
      <c r="G10" s="80">
        <f>(F10/D10)*5</f>
        <v>0.75</v>
      </c>
      <c r="H10" s="79" t="s">
        <v>313</v>
      </c>
      <c r="I10" s="80">
        <f>((SUM($G$2:$G$4)*G10)+G10)</f>
        <v>0.87</v>
      </c>
      <c r="J10" s="79">
        <v>5</v>
      </c>
      <c r="K10" s="92" t="str">
        <f t="shared" ref="K10:K41" si="0">J10&amp;H10</f>
        <v>5ml</v>
      </c>
    </row>
    <row r="11" spans="2:11" x14ac:dyDescent="0.25">
      <c r="B11" s="61">
        <v>2</v>
      </c>
      <c r="C11" s="65" t="s">
        <v>20</v>
      </c>
      <c r="D11" s="79">
        <v>10</v>
      </c>
      <c r="E11" s="93" t="s">
        <v>250</v>
      </c>
      <c r="F11" s="79">
        <f>0.39*10</f>
        <v>3.9000000000000004</v>
      </c>
      <c r="G11" s="80">
        <v>0.45</v>
      </c>
      <c r="H11" s="79" t="s">
        <v>250</v>
      </c>
      <c r="I11" s="80">
        <f t="shared" ref="I11:I74" si="1">((SUM($G$2:$G$4)*G11)+G11)</f>
        <v>0.52200000000000002</v>
      </c>
      <c r="J11" s="79">
        <v>1</v>
      </c>
      <c r="K11" s="92" t="str">
        <f t="shared" si="0"/>
        <v>1tab</v>
      </c>
    </row>
    <row r="12" spans="2:11" x14ac:dyDescent="0.25">
      <c r="B12" s="61">
        <v>1</v>
      </c>
      <c r="C12" s="65" t="s">
        <v>314</v>
      </c>
      <c r="D12" s="79">
        <v>600</v>
      </c>
      <c r="E12" s="93" t="s">
        <v>250</v>
      </c>
      <c r="F12" s="79">
        <v>300</v>
      </c>
      <c r="G12" s="80">
        <f>F12/D12</f>
        <v>0.5</v>
      </c>
      <c r="H12" s="79" t="s">
        <v>250</v>
      </c>
      <c r="I12" s="80">
        <f t="shared" si="1"/>
        <v>0.57999999999999996</v>
      </c>
      <c r="J12" s="79">
        <v>1</v>
      </c>
      <c r="K12" s="92" t="str">
        <f t="shared" si="0"/>
        <v>1tab</v>
      </c>
    </row>
    <row r="13" spans="2:11" x14ac:dyDescent="0.25">
      <c r="B13" s="61">
        <v>160</v>
      </c>
      <c r="C13" s="65" t="s">
        <v>315</v>
      </c>
      <c r="D13" s="79"/>
      <c r="E13" s="79"/>
      <c r="F13" s="79"/>
      <c r="G13" s="80"/>
      <c r="H13" s="79"/>
      <c r="I13" s="80">
        <f t="shared" si="1"/>
        <v>0</v>
      </c>
      <c r="J13" s="79"/>
      <c r="K13" s="92" t="str">
        <f t="shared" si="0"/>
        <v/>
      </c>
    </row>
    <row r="14" spans="2:11" x14ac:dyDescent="0.25">
      <c r="B14" s="61">
        <v>37</v>
      </c>
      <c r="C14" s="65" t="s">
        <v>316</v>
      </c>
      <c r="D14" s="79"/>
      <c r="E14" s="79" t="s">
        <v>313</v>
      </c>
      <c r="F14" s="79"/>
      <c r="G14" s="80">
        <v>13</v>
      </c>
      <c r="H14" s="79" t="s">
        <v>313</v>
      </c>
      <c r="I14" s="80">
        <f t="shared" si="1"/>
        <v>15.08</v>
      </c>
      <c r="J14" s="79">
        <v>1</v>
      </c>
      <c r="K14" s="92" t="str">
        <f t="shared" si="0"/>
        <v>1ml</v>
      </c>
    </row>
    <row r="15" spans="2:11" x14ac:dyDescent="0.25">
      <c r="B15" s="61">
        <v>188</v>
      </c>
      <c r="C15" s="65" t="s">
        <v>317</v>
      </c>
      <c r="D15" s="79"/>
      <c r="E15" s="79"/>
      <c r="F15" s="79"/>
      <c r="G15" s="80">
        <v>13</v>
      </c>
      <c r="H15" s="79" t="s">
        <v>313</v>
      </c>
      <c r="I15" s="80">
        <f t="shared" si="1"/>
        <v>15.08</v>
      </c>
      <c r="J15" s="79">
        <v>1</v>
      </c>
      <c r="K15" s="92" t="str">
        <f t="shared" si="0"/>
        <v>1ml</v>
      </c>
    </row>
    <row r="16" spans="2:11" x14ac:dyDescent="0.25">
      <c r="B16" s="61">
        <v>60</v>
      </c>
      <c r="C16" s="65" t="s">
        <v>318</v>
      </c>
      <c r="D16" s="79"/>
      <c r="E16" s="79"/>
      <c r="F16" s="79"/>
      <c r="G16" s="80"/>
      <c r="H16" s="79"/>
      <c r="I16" s="80">
        <f t="shared" si="1"/>
        <v>0</v>
      </c>
      <c r="J16" s="79"/>
      <c r="K16" s="92" t="str">
        <f t="shared" si="0"/>
        <v/>
      </c>
    </row>
    <row r="17" spans="2:12" ht="30" x14ac:dyDescent="0.25">
      <c r="B17" s="61">
        <v>109</v>
      </c>
      <c r="C17" s="94" t="s">
        <v>319</v>
      </c>
      <c r="D17" s="79">
        <v>120</v>
      </c>
      <c r="E17" s="79" t="s">
        <v>313</v>
      </c>
      <c r="F17" s="79">
        <v>15</v>
      </c>
      <c r="G17" s="80">
        <f>F17/D17*5</f>
        <v>0.625</v>
      </c>
      <c r="H17" s="79" t="s">
        <v>313</v>
      </c>
      <c r="I17" s="80">
        <f t="shared" si="1"/>
        <v>0.72499999999999998</v>
      </c>
      <c r="J17" s="79">
        <v>5</v>
      </c>
      <c r="K17" s="92" t="str">
        <f t="shared" si="0"/>
        <v>5ml</v>
      </c>
    </row>
    <row r="18" spans="2:12" x14ac:dyDescent="0.25">
      <c r="B18" s="61">
        <v>144</v>
      </c>
      <c r="C18" s="65" t="s">
        <v>320</v>
      </c>
      <c r="D18" s="79">
        <v>10</v>
      </c>
      <c r="E18" s="79" t="s">
        <v>313</v>
      </c>
      <c r="F18" s="79">
        <v>6</v>
      </c>
      <c r="G18" s="80">
        <f>F18/D18</f>
        <v>0.6</v>
      </c>
      <c r="H18" s="79" t="s">
        <v>313</v>
      </c>
      <c r="I18" s="80">
        <f t="shared" si="1"/>
        <v>0.69599999999999995</v>
      </c>
      <c r="J18" s="79">
        <v>1</v>
      </c>
      <c r="K18" s="92" t="str">
        <f t="shared" si="0"/>
        <v>1ml</v>
      </c>
    </row>
    <row r="19" spans="2:12" x14ac:dyDescent="0.25">
      <c r="B19" s="61">
        <v>14</v>
      </c>
      <c r="C19" s="65" t="s">
        <v>321</v>
      </c>
      <c r="D19" s="79"/>
      <c r="E19" s="79"/>
      <c r="F19" s="79"/>
      <c r="G19" s="80"/>
      <c r="H19" s="79"/>
      <c r="I19" s="80">
        <f t="shared" si="1"/>
        <v>0</v>
      </c>
      <c r="J19" s="79"/>
      <c r="K19" s="92" t="str">
        <f t="shared" si="0"/>
        <v/>
      </c>
    </row>
    <row r="20" spans="2:12" x14ac:dyDescent="0.25">
      <c r="B20" s="61">
        <v>13</v>
      </c>
      <c r="C20" s="65" t="s">
        <v>322</v>
      </c>
      <c r="D20" s="79"/>
      <c r="E20" s="79"/>
      <c r="F20" s="79"/>
      <c r="G20" s="80"/>
      <c r="H20" s="79"/>
      <c r="I20" s="80">
        <f t="shared" si="1"/>
        <v>0</v>
      </c>
      <c r="J20" s="79"/>
      <c r="K20" s="92" t="str">
        <f t="shared" si="0"/>
        <v/>
      </c>
    </row>
    <row r="21" spans="2:12" x14ac:dyDescent="0.25">
      <c r="B21" s="61">
        <v>11</v>
      </c>
      <c r="C21" s="65" t="s">
        <v>323</v>
      </c>
      <c r="D21" s="79">
        <v>100</v>
      </c>
      <c r="E21" s="93" t="s">
        <v>250</v>
      </c>
      <c r="F21" s="79">
        <v>198</v>
      </c>
      <c r="G21" s="80">
        <v>2.5</v>
      </c>
      <c r="H21" s="79" t="s">
        <v>250</v>
      </c>
      <c r="I21" s="80">
        <f t="shared" si="1"/>
        <v>2.9</v>
      </c>
      <c r="J21" s="79">
        <v>1</v>
      </c>
      <c r="K21" s="92" t="str">
        <f t="shared" si="0"/>
        <v>1tab</v>
      </c>
      <c r="L21" s="134"/>
    </row>
    <row r="22" spans="2:12" x14ac:dyDescent="0.25">
      <c r="B22" s="61">
        <v>12</v>
      </c>
      <c r="C22" s="65" t="s">
        <v>324</v>
      </c>
      <c r="D22" s="79">
        <v>1</v>
      </c>
      <c r="E22" s="79" t="s">
        <v>313</v>
      </c>
      <c r="F22" s="79">
        <v>0.6</v>
      </c>
      <c r="G22" s="80">
        <v>2.5</v>
      </c>
      <c r="H22" s="79" t="s">
        <v>313</v>
      </c>
      <c r="I22" s="80">
        <f t="shared" si="1"/>
        <v>2.9</v>
      </c>
      <c r="J22" s="79">
        <v>5</v>
      </c>
      <c r="K22" s="92" t="str">
        <f t="shared" si="0"/>
        <v>5ml</v>
      </c>
    </row>
    <row r="23" spans="2:12" x14ac:dyDescent="0.25">
      <c r="B23" s="61">
        <v>22</v>
      </c>
      <c r="C23" s="65" t="s">
        <v>325</v>
      </c>
      <c r="D23" s="79"/>
      <c r="E23" s="79"/>
      <c r="F23" s="79"/>
      <c r="G23" s="80">
        <v>8</v>
      </c>
      <c r="H23" s="79" t="s">
        <v>326</v>
      </c>
      <c r="I23" s="80">
        <f t="shared" si="1"/>
        <v>9.2799999999999994</v>
      </c>
      <c r="J23" s="79">
        <v>1</v>
      </c>
      <c r="K23" s="92" t="str">
        <f t="shared" si="0"/>
        <v>1inj</v>
      </c>
    </row>
    <row r="24" spans="2:12" x14ac:dyDescent="0.25">
      <c r="B24" s="61">
        <v>107</v>
      </c>
      <c r="C24" s="65" t="s">
        <v>327</v>
      </c>
      <c r="D24" s="79"/>
      <c r="E24" s="79"/>
      <c r="F24" s="79"/>
      <c r="G24" s="80"/>
      <c r="H24" s="79"/>
      <c r="I24" s="80">
        <f t="shared" si="1"/>
        <v>0</v>
      </c>
      <c r="J24" s="79"/>
      <c r="K24" s="92" t="str">
        <f t="shared" si="0"/>
        <v/>
      </c>
    </row>
    <row r="25" spans="2:12" x14ac:dyDescent="0.25">
      <c r="B25" s="61">
        <v>66</v>
      </c>
      <c r="C25" s="65" t="s">
        <v>328</v>
      </c>
      <c r="D25" s="79"/>
      <c r="E25" s="79" t="s">
        <v>250</v>
      </c>
      <c r="F25" s="79"/>
      <c r="G25" s="80">
        <v>16</v>
      </c>
      <c r="H25" s="79"/>
      <c r="I25" s="80">
        <f t="shared" si="1"/>
        <v>18.559999999999999</v>
      </c>
      <c r="J25" s="79"/>
      <c r="K25" s="92" t="str">
        <f t="shared" si="0"/>
        <v/>
      </c>
    </row>
    <row r="26" spans="2:12" x14ac:dyDescent="0.25">
      <c r="B26" s="61">
        <v>157</v>
      </c>
      <c r="C26" s="65" t="s">
        <v>329</v>
      </c>
      <c r="D26" s="79"/>
      <c r="E26" s="79"/>
      <c r="F26" s="79"/>
      <c r="G26" s="80">
        <v>0.54</v>
      </c>
      <c r="H26" s="79" t="s">
        <v>250</v>
      </c>
      <c r="I26" s="80">
        <f t="shared" si="1"/>
        <v>0.62640000000000007</v>
      </c>
      <c r="J26" s="79">
        <v>1</v>
      </c>
      <c r="K26" s="92" t="str">
        <f t="shared" si="0"/>
        <v>1tab</v>
      </c>
    </row>
    <row r="27" spans="2:12" x14ac:dyDescent="0.25">
      <c r="B27" s="61">
        <v>103</v>
      </c>
      <c r="C27" s="65" t="s">
        <v>330</v>
      </c>
      <c r="D27" s="79"/>
      <c r="E27" s="79"/>
      <c r="F27" s="79"/>
      <c r="G27" s="80">
        <v>0.38</v>
      </c>
      <c r="H27" s="79" t="s">
        <v>250</v>
      </c>
      <c r="I27" s="80">
        <f t="shared" si="1"/>
        <v>0.44080000000000003</v>
      </c>
      <c r="J27" s="79">
        <v>1</v>
      </c>
      <c r="K27" s="92" t="str">
        <f t="shared" si="0"/>
        <v>1tab</v>
      </c>
    </row>
    <row r="28" spans="2:12" x14ac:dyDescent="0.25">
      <c r="B28" s="61">
        <v>120</v>
      </c>
      <c r="C28" s="65" t="s">
        <v>331</v>
      </c>
      <c r="D28" s="79"/>
      <c r="E28" s="79"/>
      <c r="F28" s="79"/>
      <c r="G28" s="80"/>
      <c r="H28" s="79"/>
      <c r="I28" s="80">
        <f t="shared" si="1"/>
        <v>0</v>
      </c>
      <c r="J28" s="79"/>
      <c r="K28" s="92" t="str">
        <f t="shared" si="0"/>
        <v/>
      </c>
    </row>
    <row r="29" spans="2:12" x14ac:dyDescent="0.25">
      <c r="B29" s="61">
        <v>190</v>
      </c>
      <c r="C29" s="65" t="s">
        <v>332</v>
      </c>
      <c r="D29" s="79"/>
      <c r="E29" s="79"/>
      <c r="F29" s="79"/>
      <c r="G29" s="80">
        <v>10</v>
      </c>
      <c r="H29" s="79" t="s">
        <v>250</v>
      </c>
      <c r="I29" s="80">
        <f t="shared" si="1"/>
        <v>11.6</v>
      </c>
      <c r="J29" s="79">
        <v>1</v>
      </c>
      <c r="K29" s="92" t="str">
        <f t="shared" si="0"/>
        <v>1tab</v>
      </c>
    </row>
    <row r="30" spans="2:12" x14ac:dyDescent="0.25">
      <c r="B30" s="61">
        <v>192</v>
      </c>
      <c r="C30" s="65" t="s">
        <v>333</v>
      </c>
      <c r="D30" s="79"/>
      <c r="E30" s="79"/>
      <c r="F30" s="79"/>
      <c r="G30" s="80">
        <v>10.5</v>
      </c>
      <c r="H30" s="79" t="s">
        <v>305</v>
      </c>
      <c r="I30" s="80">
        <f t="shared" si="1"/>
        <v>12.18</v>
      </c>
      <c r="J30" s="79">
        <v>1</v>
      </c>
      <c r="K30" s="92" t="str">
        <f t="shared" si="0"/>
        <v>1dose</v>
      </c>
    </row>
    <row r="31" spans="2:12" x14ac:dyDescent="0.25">
      <c r="B31" s="61">
        <v>153</v>
      </c>
      <c r="C31" s="65" t="s">
        <v>334</v>
      </c>
      <c r="D31" s="79">
        <v>120</v>
      </c>
      <c r="E31" s="79" t="s">
        <v>313</v>
      </c>
      <c r="F31" s="79">
        <v>15</v>
      </c>
      <c r="G31" s="80">
        <f>F31/D31*5</f>
        <v>0.625</v>
      </c>
      <c r="H31" s="79" t="s">
        <v>313</v>
      </c>
      <c r="I31" s="80">
        <f t="shared" si="1"/>
        <v>0.72499999999999998</v>
      </c>
      <c r="J31" s="79">
        <v>5</v>
      </c>
      <c r="K31" s="92" t="str">
        <f t="shared" si="0"/>
        <v>5ml</v>
      </c>
    </row>
    <row r="32" spans="2:12" x14ac:dyDescent="0.25">
      <c r="B32" s="61">
        <v>154</v>
      </c>
      <c r="C32" s="65" t="s">
        <v>335</v>
      </c>
      <c r="D32" s="79">
        <v>30</v>
      </c>
      <c r="E32" s="79" t="s">
        <v>250</v>
      </c>
      <c r="F32" s="79">
        <v>55</v>
      </c>
      <c r="G32" s="80">
        <f>F32/D32</f>
        <v>1.8333333333333333</v>
      </c>
      <c r="H32" s="79" t="s">
        <v>250</v>
      </c>
      <c r="I32" s="80">
        <f t="shared" si="1"/>
        <v>2.1266666666666665</v>
      </c>
      <c r="J32" s="79">
        <v>1</v>
      </c>
      <c r="K32" s="92" t="str">
        <f t="shared" si="0"/>
        <v>1tab</v>
      </c>
    </row>
    <row r="33" spans="2:12" x14ac:dyDescent="0.25">
      <c r="B33" s="61">
        <v>77</v>
      </c>
      <c r="C33" s="65" t="s">
        <v>336</v>
      </c>
      <c r="D33" s="79"/>
      <c r="E33" s="79"/>
      <c r="F33" s="79"/>
      <c r="G33" s="80"/>
      <c r="H33" s="79"/>
      <c r="I33" s="80">
        <f t="shared" si="1"/>
        <v>0</v>
      </c>
      <c r="J33" s="79"/>
      <c r="K33" s="92" t="str">
        <f t="shared" si="0"/>
        <v/>
      </c>
    </row>
    <row r="34" spans="2:12" x14ac:dyDescent="0.25">
      <c r="B34" s="61">
        <v>167</v>
      </c>
      <c r="C34" s="65" t="s">
        <v>12</v>
      </c>
      <c r="D34" s="79"/>
      <c r="E34" s="79"/>
      <c r="F34" s="79"/>
      <c r="G34" s="80"/>
      <c r="H34" s="79"/>
      <c r="I34" s="80">
        <f t="shared" si="1"/>
        <v>0</v>
      </c>
      <c r="J34" s="79"/>
      <c r="K34" s="92" t="str">
        <f t="shared" si="0"/>
        <v/>
      </c>
    </row>
    <row r="35" spans="2:12" x14ac:dyDescent="0.25">
      <c r="B35" s="61">
        <v>88</v>
      </c>
      <c r="C35" s="65" t="s">
        <v>337</v>
      </c>
      <c r="D35" s="79">
        <v>60</v>
      </c>
      <c r="E35" s="79" t="s">
        <v>313</v>
      </c>
      <c r="F35" s="79">
        <v>15</v>
      </c>
      <c r="G35" s="80">
        <f>F35/D35</f>
        <v>0.25</v>
      </c>
      <c r="H35" s="79" t="s">
        <v>313</v>
      </c>
      <c r="I35" s="80">
        <f t="shared" si="1"/>
        <v>0.28999999999999998</v>
      </c>
      <c r="J35" s="79">
        <v>1</v>
      </c>
      <c r="K35" s="92" t="str">
        <f t="shared" si="0"/>
        <v>1ml</v>
      </c>
    </row>
    <row r="36" spans="2:12" x14ac:dyDescent="0.25">
      <c r="B36" s="61">
        <v>122</v>
      </c>
      <c r="C36" s="65" t="s">
        <v>338</v>
      </c>
      <c r="D36" s="79"/>
      <c r="E36" s="79"/>
      <c r="F36" s="79"/>
      <c r="G36" s="80">
        <v>0.35</v>
      </c>
      <c r="H36" s="79" t="s">
        <v>250</v>
      </c>
      <c r="I36" s="80">
        <f t="shared" si="1"/>
        <v>0.40599999999999997</v>
      </c>
      <c r="J36" s="79">
        <v>1</v>
      </c>
      <c r="K36" s="92" t="str">
        <f t="shared" si="0"/>
        <v>1tab</v>
      </c>
    </row>
    <row r="37" spans="2:12" x14ac:dyDescent="0.25">
      <c r="B37" s="61">
        <v>91</v>
      </c>
      <c r="C37" s="65" t="s">
        <v>339</v>
      </c>
      <c r="D37" s="79">
        <v>120</v>
      </c>
      <c r="E37" s="79" t="s">
        <v>313</v>
      </c>
      <c r="F37" s="79">
        <v>205</v>
      </c>
      <c r="G37" s="80">
        <f>F37/D37</f>
        <v>1.7083333333333333</v>
      </c>
      <c r="H37" s="79" t="s">
        <v>313</v>
      </c>
      <c r="I37" s="80">
        <f t="shared" si="1"/>
        <v>1.9816666666666665</v>
      </c>
      <c r="J37" s="79">
        <v>1</v>
      </c>
      <c r="K37" s="92" t="str">
        <f t="shared" si="0"/>
        <v>1ml</v>
      </c>
    </row>
    <row r="38" spans="2:12" x14ac:dyDescent="0.25">
      <c r="B38" s="61">
        <v>156</v>
      </c>
      <c r="C38" s="65" t="s">
        <v>340</v>
      </c>
      <c r="D38" s="79"/>
      <c r="E38" s="79"/>
      <c r="F38" s="79"/>
      <c r="G38" s="80">
        <v>0.78</v>
      </c>
      <c r="H38" s="79" t="s">
        <v>250</v>
      </c>
      <c r="I38" s="80">
        <f t="shared" si="1"/>
        <v>0.90480000000000005</v>
      </c>
      <c r="J38" s="79">
        <v>1</v>
      </c>
      <c r="K38" s="92" t="str">
        <f t="shared" si="0"/>
        <v>1tab</v>
      </c>
    </row>
    <row r="39" spans="2:12" x14ac:dyDescent="0.25">
      <c r="B39" s="61">
        <v>21</v>
      </c>
      <c r="C39" s="65" t="s">
        <v>146</v>
      </c>
      <c r="D39" s="79">
        <v>1</v>
      </c>
      <c r="E39" s="79" t="s">
        <v>252</v>
      </c>
      <c r="F39" s="79">
        <v>29</v>
      </c>
      <c r="G39" s="80">
        <f>F39</f>
        <v>29</v>
      </c>
      <c r="H39" s="79"/>
      <c r="I39" s="80">
        <f t="shared" si="1"/>
        <v>33.64</v>
      </c>
      <c r="J39" s="79"/>
      <c r="K39" s="92" t="str">
        <f t="shared" si="0"/>
        <v/>
      </c>
    </row>
    <row r="40" spans="2:12" x14ac:dyDescent="0.25">
      <c r="B40" s="61">
        <v>138</v>
      </c>
      <c r="C40" s="65" t="s">
        <v>341</v>
      </c>
      <c r="D40" s="79"/>
      <c r="E40" s="79"/>
      <c r="F40" s="79"/>
      <c r="G40" s="80"/>
      <c r="H40" s="79"/>
      <c r="I40" s="80">
        <f t="shared" si="1"/>
        <v>0</v>
      </c>
      <c r="J40" s="79"/>
      <c r="K40" s="92" t="str">
        <f t="shared" si="0"/>
        <v/>
      </c>
    </row>
    <row r="41" spans="2:12" x14ac:dyDescent="0.25">
      <c r="B41" s="61">
        <v>134</v>
      </c>
      <c r="C41" s="65" t="s">
        <v>342</v>
      </c>
      <c r="D41" s="79">
        <v>10</v>
      </c>
      <c r="E41" s="79" t="s">
        <v>313</v>
      </c>
      <c r="F41" s="79">
        <v>10</v>
      </c>
      <c r="G41" s="80">
        <f>F41/D41</f>
        <v>1</v>
      </c>
      <c r="H41" s="79" t="s">
        <v>313</v>
      </c>
      <c r="I41" s="80">
        <f t="shared" si="1"/>
        <v>1.1599999999999999</v>
      </c>
      <c r="J41" s="79">
        <v>1</v>
      </c>
      <c r="K41" s="92" t="str">
        <f t="shared" si="0"/>
        <v>1ml</v>
      </c>
    </row>
    <row r="42" spans="2:12" x14ac:dyDescent="0.25">
      <c r="B42" s="61">
        <v>135</v>
      </c>
      <c r="C42" s="65" t="s">
        <v>343</v>
      </c>
      <c r="D42" s="79"/>
      <c r="E42" s="79"/>
      <c r="F42" s="79"/>
      <c r="G42" s="80">
        <v>4.75</v>
      </c>
      <c r="H42" s="79" t="s">
        <v>313</v>
      </c>
      <c r="I42" s="80">
        <f t="shared" si="1"/>
        <v>5.51</v>
      </c>
      <c r="J42" s="79">
        <v>1</v>
      </c>
      <c r="K42" s="92" t="str">
        <f t="shared" ref="K42:K73" si="2">J42&amp;H42</f>
        <v>1ml</v>
      </c>
    </row>
    <row r="43" spans="2:12" x14ac:dyDescent="0.25">
      <c r="B43" s="61">
        <v>164</v>
      </c>
      <c r="C43" s="65" t="s">
        <v>344</v>
      </c>
      <c r="D43" s="79"/>
      <c r="E43" s="79"/>
      <c r="F43" s="79"/>
      <c r="G43" s="80"/>
      <c r="H43" s="79"/>
      <c r="I43" s="80">
        <f t="shared" si="1"/>
        <v>0</v>
      </c>
      <c r="J43" s="79"/>
      <c r="K43" s="92" t="str">
        <f t="shared" si="2"/>
        <v/>
      </c>
    </row>
    <row r="44" spans="2:12" x14ac:dyDescent="0.25">
      <c r="B44" s="61">
        <v>63</v>
      </c>
      <c r="C44" s="65" t="s">
        <v>345</v>
      </c>
      <c r="D44" s="79">
        <v>60</v>
      </c>
      <c r="E44" s="79" t="s">
        <v>313</v>
      </c>
      <c r="F44" s="79">
        <v>12</v>
      </c>
      <c r="G44" s="80">
        <f>F44/D44*5</f>
        <v>1</v>
      </c>
      <c r="H44" s="79" t="s">
        <v>313</v>
      </c>
      <c r="I44" s="80">
        <f t="shared" si="1"/>
        <v>1.1599999999999999</v>
      </c>
      <c r="J44" s="79">
        <v>5</v>
      </c>
      <c r="K44" s="92" t="str">
        <f t="shared" si="2"/>
        <v>5ml</v>
      </c>
    </row>
    <row r="45" spans="2:12" x14ac:dyDescent="0.25">
      <c r="B45" s="61">
        <v>62</v>
      </c>
      <c r="C45" s="94" t="s">
        <v>346</v>
      </c>
      <c r="D45" s="79">
        <v>1000</v>
      </c>
      <c r="E45" s="79" t="s">
        <v>250</v>
      </c>
      <c r="F45" s="79">
        <f>5.8*91</f>
        <v>527.79999999999995</v>
      </c>
      <c r="G45" s="80">
        <f>F45/D45</f>
        <v>0.52779999999999994</v>
      </c>
      <c r="H45" s="79" t="s">
        <v>250</v>
      </c>
      <c r="I45" s="80">
        <f t="shared" si="1"/>
        <v>0.6122479999999999</v>
      </c>
      <c r="J45" s="79">
        <v>1</v>
      </c>
      <c r="K45" s="92" t="str">
        <f t="shared" si="2"/>
        <v>1tab</v>
      </c>
    </row>
    <row r="46" spans="2:12" x14ac:dyDescent="0.25">
      <c r="B46" s="61">
        <v>33</v>
      </c>
      <c r="C46" s="65" t="s">
        <v>347</v>
      </c>
      <c r="D46" s="79">
        <v>120</v>
      </c>
      <c r="E46" s="79" t="s">
        <v>313</v>
      </c>
      <c r="F46" s="79">
        <v>9</v>
      </c>
      <c r="G46" s="80">
        <f>F46/D46*5</f>
        <v>0.375</v>
      </c>
      <c r="H46" s="79" t="s">
        <v>313</v>
      </c>
      <c r="I46" s="80">
        <f t="shared" si="1"/>
        <v>0.435</v>
      </c>
      <c r="J46" s="79">
        <v>5</v>
      </c>
      <c r="K46" s="92" t="str">
        <f t="shared" si="2"/>
        <v>5ml</v>
      </c>
    </row>
    <row r="47" spans="2:12" x14ac:dyDescent="0.25">
      <c r="B47" s="61">
        <v>32</v>
      </c>
      <c r="C47" s="65" t="s">
        <v>348</v>
      </c>
      <c r="D47" s="79">
        <v>500</v>
      </c>
      <c r="E47" s="79"/>
      <c r="F47" s="79">
        <v>69</v>
      </c>
      <c r="G47" s="80">
        <f>F47/D47</f>
        <v>0.13800000000000001</v>
      </c>
      <c r="H47" s="79" t="s">
        <v>250</v>
      </c>
      <c r="I47" s="80">
        <f t="shared" si="1"/>
        <v>0.16008</v>
      </c>
      <c r="J47" s="79">
        <v>1</v>
      </c>
      <c r="K47" s="92" t="str">
        <f t="shared" si="2"/>
        <v>1tab</v>
      </c>
    </row>
    <row r="48" spans="2:12" x14ac:dyDescent="0.25">
      <c r="B48" s="61">
        <v>23</v>
      </c>
      <c r="C48" s="65" t="s">
        <v>349</v>
      </c>
      <c r="D48" s="79"/>
      <c r="E48" s="79" t="s">
        <v>250</v>
      </c>
      <c r="F48" s="79"/>
      <c r="G48" s="80">
        <v>3</v>
      </c>
      <c r="H48" s="79" t="s">
        <v>250</v>
      </c>
      <c r="I48" s="80">
        <f t="shared" si="1"/>
        <v>3.48</v>
      </c>
      <c r="J48" s="79">
        <v>1</v>
      </c>
      <c r="K48" s="92" t="str">
        <f t="shared" si="2"/>
        <v>1tab</v>
      </c>
      <c r="L48" s="134"/>
    </row>
    <row r="49" spans="2:11" x14ac:dyDescent="0.25">
      <c r="B49" s="61">
        <v>80</v>
      </c>
      <c r="C49" s="65" t="s">
        <v>350</v>
      </c>
      <c r="D49" s="79">
        <v>20</v>
      </c>
      <c r="E49" s="79" t="s">
        <v>351</v>
      </c>
      <c r="F49" s="79">
        <v>15</v>
      </c>
      <c r="G49" s="80">
        <f>F49/D49</f>
        <v>0.75</v>
      </c>
      <c r="H49" s="79" t="s">
        <v>351</v>
      </c>
      <c r="I49" s="80">
        <f t="shared" si="1"/>
        <v>0.87</v>
      </c>
      <c r="J49" s="79">
        <v>1</v>
      </c>
      <c r="K49" s="92" t="str">
        <f t="shared" si="2"/>
        <v>1gm</v>
      </c>
    </row>
    <row r="50" spans="2:11" x14ac:dyDescent="0.25">
      <c r="B50" s="61">
        <v>34</v>
      </c>
      <c r="C50" s="65" t="s">
        <v>352</v>
      </c>
      <c r="D50" s="79"/>
      <c r="E50" s="79" t="s">
        <v>250</v>
      </c>
      <c r="F50" s="79"/>
      <c r="G50" s="80">
        <v>0.4</v>
      </c>
      <c r="H50" s="79" t="s">
        <v>250</v>
      </c>
      <c r="I50" s="80">
        <f t="shared" si="1"/>
        <v>0.46400000000000002</v>
      </c>
      <c r="J50" s="79">
        <v>1</v>
      </c>
      <c r="K50" s="92" t="str">
        <f t="shared" si="2"/>
        <v>1tab</v>
      </c>
    </row>
    <row r="51" spans="2:11" x14ac:dyDescent="0.25">
      <c r="B51" s="61">
        <v>179</v>
      </c>
      <c r="C51" s="65" t="s">
        <v>353</v>
      </c>
      <c r="D51" s="79"/>
      <c r="E51" s="79"/>
      <c r="F51" s="79"/>
      <c r="G51" s="80">
        <v>0.9</v>
      </c>
      <c r="H51" s="79" t="s">
        <v>313</v>
      </c>
      <c r="I51" s="80">
        <f t="shared" si="1"/>
        <v>1.044</v>
      </c>
      <c r="J51" s="79">
        <v>1</v>
      </c>
      <c r="K51" s="92" t="str">
        <f t="shared" si="2"/>
        <v>1ml</v>
      </c>
    </row>
    <row r="52" spans="2:11" x14ac:dyDescent="0.25">
      <c r="B52" s="61">
        <v>171</v>
      </c>
      <c r="C52" s="65" t="s">
        <v>354</v>
      </c>
      <c r="D52" s="79">
        <v>1000</v>
      </c>
      <c r="E52" s="79" t="s">
        <v>313</v>
      </c>
      <c r="F52" s="79">
        <v>40</v>
      </c>
      <c r="G52" s="80">
        <v>40</v>
      </c>
      <c r="H52" s="79" t="s">
        <v>313</v>
      </c>
      <c r="I52" s="80">
        <f t="shared" si="1"/>
        <v>46.4</v>
      </c>
      <c r="J52" s="79">
        <v>1000</v>
      </c>
      <c r="K52" s="92" t="str">
        <f t="shared" si="2"/>
        <v>1000ml</v>
      </c>
    </row>
    <row r="53" spans="2:11" x14ac:dyDescent="0.25">
      <c r="B53" s="61">
        <v>170</v>
      </c>
      <c r="C53" s="65" t="s">
        <v>355</v>
      </c>
      <c r="D53" s="79">
        <v>500</v>
      </c>
      <c r="E53" s="79" t="s">
        <v>313</v>
      </c>
      <c r="F53" s="79">
        <v>30</v>
      </c>
      <c r="G53" s="80">
        <v>30</v>
      </c>
      <c r="H53" s="79" t="s">
        <v>313</v>
      </c>
      <c r="I53" s="80">
        <f t="shared" si="1"/>
        <v>34.799999999999997</v>
      </c>
      <c r="J53" s="79">
        <v>500</v>
      </c>
      <c r="K53" s="92" t="str">
        <f t="shared" si="2"/>
        <v>500ml</v>
      </c>
    </row>
    <row r="54" spans="2:11" x14ac:dyDescent="0.25">
      <c r="B54" s="61">
        <v>189</v>
      </c>
      <c r="C54" s="65" t="s">
        <v>356</v>
      </c>
      <c r="D54" s="79"/>
      <c r="E54" s="79"/>
      <c r="F54" s="79"/>
      <c r="G54" s="80">
        <v>9</v>
      </c>
      <c r="H54" s="79" t="s">
        <v>313</v>
      </c>
      <c r="I54" s="80">
        <f t="shared" si="1"/>
        <v>10.44</v>
      </c>
      <c r="J54" s="79">
        <v>1</v>
      </c>
      <c r="K54" s="92" t="str">
        <f t="shared" si="2"/>
        <v>1ml</v>
      </c>
    </row>
    <row r="55" spans="2:11" x14ac:dyDescent="0.25">
      <c r="B55" s="61">
        <v>151</v>
      </c>
      <c r="C55" s="65" t="s">
        <v>357</v>
      </c>
      <c r="D55" s="79">
        <v>1000</v>
      </c>
      <c r="E55" s="79" t="s">
        <v>250</v>
      </c>
      <c r="F55" s="79">
        <f>G55*D55</f>
        <v>600</v>
      </c>
      <c r="G55" s="80">
        <v>0.6</v>
      </c>
      <c r="H55" s="79" t="s">
        <v>250</v>
      </c>
      <c r="I55" s="80">
        <f t="shared" si="1"/>
        <v>0.69599999999999995</v>
      </c>
      <c r="J55" s="79">
        <v>1</v>
      </c>
      <c r="K55" s="92" t="str">
        <f t="shared" si="2"/>
        <v>1tab</v>
      </c>
    </row>
    <row r="56" spans="2:11" x14ac:dyDescent="0.25">
      <c r="B56" s="61">
        <v>7</v>
      </c>
      <c r="C56" s="65" t="s">
        <v>358</v>
      </c>
      <c r="D56" s="79">
        <v>1</v>
      </c>
      <c r="E56" s="79" t="s">
        <v>359</v>
      </c>
      <c r="F56" s="79">
        <v>3</v>
      </c>
      <c r="G56" s="80">
        <v>3</v>
      </c>
      <c r="H56" s="79" t="s">
        <v>359</v>
      </c>
      <c r="I56" s="80">
        <f t="shared" si="1"/>
        <v>3.48</v>
      </c>
      <c r="J56" s="79">
        <v>1</v>
      </c>
      <c r="K56" s="92" t="str">
        <f t="shared" si="2"/>
        <v>1amp</v>
      </c>
    </row>
    <row r="57" spans="2:11" x14ac:dyDescent="0.25">
      <c r="B57" s="61">
        <v>8</v>
      </c>
      <c r="C57" s="65" t="s">
        <v>360</v>
      </c>
      <c r="D57" s="79"/>
      <c r="E57" s="79"/>
      <c r="F57" s="79"/>
      <c r="G57" s="80"/>
      <c r="H57" s="79"/>
      <c r="I57" s="80">
        <f t="shared" si="1"/>
        <v>0</v>
      </c>
      <c r="J57" s="79"/>
      <c r="K57" s="92" t="str">
        <f t="shared" si="2"/>
        <v/>
      </c>
    </row>
    <row r="58" spans="2:11" x14ac:dyDescent="0.25">
      <c r="B58" s="61">
        <v>106</v>
      </c>
      <c r="C58" s="65" t="s">
        <v>361</v>
      </c>
      <c r="D58" s="79"/>
      <c r="E58" s="79"/>
      <c r="F58" s="79"/>
      <c r="G58" s="80">
        <v>1.25</v>
      </c>
      <c r="H58" s="79" t="s">
        <v>250</v>
      </c>
      <c r="I58" s="80">
        <f t="shared" si="1"/>
        <v>1.45</v>
      </c>
      <c r="J58" s="79">
        <v>1</v>
      </c>
      <c r="K58" s="92" t="str">
        <f t="shared" si="2"/>
        <v>1tab</v>
      </c>
    </row>
    <row r="59" spans="2:11" x14ac:dyDescent="0.25">
      <c r="B59" s="61">
        <v>29</v>
      </c>
      <c r="C59" s="65" t="s">
        <v>362</v>
      </c>
      <c r="D59" s="79"/>
      <c r="E59" s="79"/>
      <c r="F59" s="79"/>
      <c r="G59" s="80"/>
      <c r="H59" s="79"/>
      <c r="I59" s="80">
        <f t="shared" si="1"/>
        <v>0</v>
      </c>
      <c r="J59" s="79"/>
      <c r="K59" s="92" t="str">
        <f t="shared" si="2"/>
        <v/>
      </c>
    </row>
    <row r="60" spans="2:11" x14ac:dyDescent="0.25">
      <c r="B60" s="61">
        <v>116</v>
      </c>
      <c r="C60" s="65" t="s">
        <v>363</v>
      </c>
      <c r="D60" s="79">
        <v>1</v>
      </c>
      <c r="E60" s="79" t="s">
        <v>313</v>
      </c>
      <c r="F60" s="79">
        <v>2.5</v>
      </c>
      <c r="G60" s="80">
        <f>F60*2</f>
        <v>5</v>
      </c>
      <c r="H60" s="79" t="s">
        <v>313</v>
      </c>
      <c r="I60" s="80">
        <f t="shared" si="1"/>
        <v>5.8</v>
      </c>
      <c r="J60" s="79">
        <v>2</v>
      </c>
      <c r="K60" s="92" t="str">
        <f t="shared" si="2"/>
        <v>2ml</v>
      </c>
    </row>
    <row r="61" spans="2:11" x14ac:dyDescent="0.25">
      <c r="B61" s="61">
        <v>115</v>
      </c>
      <c r="C61" s="65" t="s">
        <v>364</v>
      </c>
      <c r="D61" s="79">
        <v>60</v>
      </c>
      <c r="E61" s="79" t="s">
        <v>313</v>
      </c>
      <c r="F61" s="79">
        <v>12</v>
      </c>
      <c r="G61" s="80">
        <f>F61/D61*4</f>
        <v>0.8</v>
      </c>
      <c r="H61" s="79" t="s">
        <v>313</v>
      </c>
      <c r="I61" s="80">
        <f t="shared" si="1"/>
        <v>0.92800000000000005</v>
      </c>
      <c r="J61" s="79">
        <v>4</v>
      </c>
      <c r="K61" s="92" t="str">
        <f t="shared" si="2"/>
        <v>4ml</v>
      </c>
    </row>
    <row r="62" spans="2:11" x14ac:dyDescent="0.25">
      <c r="B62" s="61">
        <v>114</v>
      </c>
      <c r="C62" s="65" t="s">
        <v>365</v>
      </c>
      <c r="D62" s="79">
        <v>100</v>
      </c>
      <c r="E62" s="79" t="s">
        <v>250</v>
      </c>
      <c r="F62" s="79">
        <v>35</v>
      </c>
      <c r="G62" s="80">
        <f>F62/D62</f>
        <v>0.35</v>
      </c>
      <c r="H62" s="79" t="s">
        <v>250</v>
      </c>
      <c r="I62" s="80">
        <f t="shared" si="1"/>
        <v>0.40599999999999997</v>
      </c>
      <c r="J62" s="79">
        <v>1</v>
      </c>
      <c r="K62" s="92" t="str">
        <f t="shared" si="2"/>
        <v>1tab</v>
      </c>
    </row>
    <row r="63" spans="2:11" x14ac:dyDescent="0.25">
      <c r="B63" s="61">
        <v>100</v>
      </c>
      <c r="C63" s="65" t="s">
        <v>366</v>
      </c>
      <c r="D63" s="79"/>
      <c r="E63" s="79"/>
      <c r="F63" s="79"/>
      <c r="G63" s="80">
        <v>3</v>
      </c>
      <c r="H63" s="79" t="s">
        <v>250</v>
      </c>
      <c r="I63" s="80">
        <f t="shared" si="1"/>
        <v>3.48</v>
      </c>
      <c r="J63" s="79">
        <v>1</v>
      </c>
      <c r="K63" s="92" t="str">
        <f t="shared" si="2"/>
        <v>1tab</v>
      </c>
    </row>
    <row r="64" spans="2:11" x14ac:dyDescent="0.25">
      <c r="B64" s="61">
        <v>17</v>
      </c>
      <c r="C64" s="65" t="s">
        <v>367</v>
      </c>
      <c r="D64" s="79"/>
      <c r="E64" s="79"/>
      <c r="F64" s="79"/>
      <c r="G64" s="80">
        <v>1.2</v>
      </c>
      <c r="H64" s="79" t="s">
        <v>250</v>
      </c>
      <c r="I64" s="80">
        <f t="shared" si="1"/>
        <v>1.3919999999999999</v>
      </c>
      <c r="J64" s="79">
        <v>1</v>
      </c>
      <c r="K64" s="92" t="str">
        <f t="shared" si="2"/>
        <v>1tab</v>
      </c>
    </row>
    <row r="65" spans="2:11" x14ac:dyDescent="0.25">
      <c r="B65" s="61">
        <v>40</v>
      </c>
      <c r="C65" s="65" t="s">
        <v>368</v>
      </c>
      <c r="D65" s="79"/>
      <c r="E65" s="79"/>
      <c r="F65" s="79"/>
      <c r="G65" s="80"/>
      <c r="H65" s="79"/>
      <c r="I65" s="80">
        <f t="shared" si="1"/>
        <v>0</v>
      </c>
      <c r="J65" s="79"/>
      <c r="K65" s="92" t="str">
        <f t="shared" si="2"/>
        <v/>
      </c>
    </row>
    <row r="66" spans="2:11" x14ac:dyDescent="0.25">
      <c r="B66" s="61">
        <v>20</v>
      </c>
      <c r="C66" s="65" t="s">
        <v>369</v>
      </c>
      <c r="D66" s="79"/>
      <c r="E66" s="79"/>
      <c r="F66" s="79"/>
      <c r="G66" s="80">
        <f>1.5*5</f>
        <v>7.5</v>
      </c>
      <c r="H66" s="79" t="s">
        <v>326</v>
      </c>
      <c r="I66" s="80">
        <f t="shared" si="1"/>
        <v>8.6999999999999993</v>
      </c>
      <c r="J66" s="79">
        <v>1</v>
      </c>
      <c r="K66" s="92" t="str">
        <f t="shared" si="2"/>
        <v>1inj</v>
      </c>
    </row>
    <row r="67" spans="2:11" x14ac:dyDescent="0.25">
      <c r="B67" s="61">
        <v>19</v>
      </c>
      <c r="C67" s="65" t="s">
        <v>370</v>
      </c>
      <c r="D67" s="79"/>
      <c r="E67" s="79"/>
      <c r="F67" s="79"/>
      <c r="G67" s="80">
        <v>2.4</v>
      </c>
      <c r="H67" s="79" t="s">
        <v>250</v>
      </c>
      <c r="I67" s="80">
        <f t="shared" si="1"/>
        <v>2.7839999999999998</v>
      </c>
      <c r="J67" s="79">
        <v>1</v>
      </c>
      <c r="K67" s="92" t="str">
        <f t="shared" si="2"/>
        <v>1tab</v>
      </c>
    </row>
    <row r="68" spans="2:11" x14ac:dyDescent="0.25">
      <c r="B68" s="61">
        <v>69</v>
      </c>
      <c r="C68" s="65" t="s">
        <v>371</v>
      </c>
      <c r="D68" s="79"/>
      <c r="E68" s="79" t="s">
        <v>250</v>
      </c>
      <c r="F68" s="79"/>
      <c r="G68" s="80">
        <v>3</v>
      </c>
      <c r="H68" s="79" t="s">
        <v>250</v>
      </c>
      <c r="I68" s="80">
        <f t="shared" si="1"/>
        <v>3.48</v>
      </c>
      <c r="J68" s="79">
        <v>1</v>
      </c>
      <c r="K68" s="92" t="str">
        <f t="shared" si="2"/>
        <v>1tab</v>
      </c>
    </row>
    <row r="69" spans="2:11" x14ac:dyDescent="0.25">
      <c r="B69" s="61">
        <v>86</v>
      </c>
      <c r="C69" s="65" t="s">
        <v>372</v>
      </c>
      <c r="D69" s="79">
        <v>120</v>
      </c>
      <c r="E69" s="79" t="s">
        <v>313</v>
      </c>
      <c r="F69" s="79">
        <v>18</v>
      </c>
      <c r="G69" s="80">
        <f>F69/D69*5</f>
        <v>0.75</v>
      </c>
      <c r="H69" s="79" t="s">
        <v>313</v>
      </c>
      <c r="I69" s="80">
        <f t="shared" si="1"/>
        <v>0.87</v>
      </c>
      <c r="J69" s="79">
        <v>5</v>
      </c>
      <c r="K69" s="92" t="str">
        <f t="shared" si="2"/>
        <v>5ml</v>
      </c>
    </row>
    <row r="70" spans="2:11" ht="30" x14ac:dyDescent="0.25">
      <c r="B70" s="61">
        <v>84</v>
      </c>
      <c r="C70" s="94" t="s">
        <v>304</v>
      </c>
      <c r="D70" s="79"/>
      <c r="E70" s="79"/>
      <c r="F70" s="79"/>
      <c r="G70" s="80">
        <v>1.6</v>
      </c>
      <c r="H70" s="79" t="s">
        <v>251</v>
      </c>
      <c r="I70" s="80">
        <f t="shared" si="1"/>
        <v>1.8560000000000001</v>
      </c>
      <c r="J70" s="79">
        <v>1</v>
      </c>
      <c r="K70" s="92" t="str">
        <f t="shared" si="2"/>
        <v>1capsule</v>
      </c>
    </row>
    <row r="71" spans="2:11" x14ac:dyDescent="0.25">
      <c r="B71" s="61">
        <v>150</v>
      </c>
      <c r="C71" s="65" t="s">
        <v>373</v>
      </c>
      <c r="D71" s="79"/>
      <c r="E71" s="79"/>
      <c r="F71" s="79"/>
      <c r="G71" s="80">
        <v>0.8</v>
      </c>
      <c r="H71" s="79" t="s">
        <v>374</v>
      </c>
      <c r="I71" s="80">
        <f t="shared" si="1"/>
        <v>0.92800000000000005</v>
      </c>
      <c r="J71" s="79">
        <v>1</v>
      </c>
      <c r="K71" s="92" t="str">
        <f t="shared" si="2"/>
        <v>1cap</v>
      </c>
    </row>
    <row r="72" spans="2:11" x14ac:dyDescent="0.25">
      <c r="B72" s="61">
        <v>85</v>
      </c>
      <c r="C72" s="65" t="s">
        <v>375</v>
      </c>
      <c r="D72" s="79">
        <v>500</v>
      </c>
      <c r="E72" s="79" t="s">
        <v>250</v>
      </c>
      <c r="F72" s="79">
        <v>55</v>
      </c>
      <c r="G72" s="80">
        <f>F72/D72</f>
        <v>0.11</v>
      </c>
      <c r="H72" s="79" t="s">
        <v>250</v>
      </c>
      <c r="I72" s="80">
        <f t="shared" si="1"/>
        <v>0.12759999999999999</v>
      </c>
      <c r="J72" s="79">
        <v>1</v>
      </c>
      <c r="K72" s="92" t="str">
        <f t="shared" si="2"/>
        <v>1tab</v>
      </c>
    </row>
    <row r="73" spans="2:11" x14ac:dyDescent="0.25">
      <c r="B73" s="61">
        <v>96</v>
      </c>
      <c r="C73" s="65" t="s">
        <v>376</v>
      </c>
      <c r="D73" s="79">
        <v>2</v>
      </c>
      <c r="E73" s="79" t="s">
        <v>313</v>
      </c>
      <c r="F73" s="79">
        <f>2*4.42</f>
        <v>8.84</v>
      </c>
      <c r="G73" s="80">
        <f>F73/D73</f>
        <v>4.42</v>
      </c>
      <c r="H73" s="79" t="s">
        <v>313</v>
      </c>
      <c r="I73" s="80">
        <f t="shared" si="1"/>
        <v>5.1272000000000002</v>
      </c>
      <c r="J73" s="79">
        <v>1</v>
      </c>
      <c r="K73" s="92" t="str">
        <f t="shared" si="2"/>
        <v>1ml</v>
      </c>
    </row>
    <row r="74" spans="2:11" x14ac:dyDescent="0.25">
      <c r="B74" s="61">
        <v>95</v>
      </c>
      <c r="C74" s="65" t="s">
        <v>377</v>
      </c>
      <c r="D74" s="79"/>
      <c r="E74" s="79"/>
      <c r="F74" s="79"/>
      <c r="G74" s="80">
        <v>0.41</v>
      </c>
      <c r="H74" s="79" t="s">
        <v>250</v>
      </c>
      <c r="I74" s="80">
        <f t="shared" si="1"/>
        <v>0.47559999999999997</v>
      </c>
      <c r="J74" s="79">
        <v>1</v>
      </c>
      <c r="K74" s="92" t="str">
        <f t="shared" ref="K74:K99" si="3">J74&amp;H74</f>
        <v>1tab</v>
      </c>
    </row>
    <row r="75" spans="2:11" x14ac:dyDescent="0.25">
      <c r="B75" s="61">
        <v>166</v>
      </c>
      <c r="C75" s="65" t="s">
        <v>378</v>
      </c>
      <c r="D75" s="79">
        <v>30</v>
      </c>
      <c r="E75" s="79" t="s">
        <v>313</v>
      </c>
      <c r="F75" s="79">
        <v>15</v>
      </c>
      <c r="G75" s="80">
        <f>F75/D75*5</f>
        <v>2.5</v>
      </c>
      <c r="H75" s="79" t="s">
        <v>313</v>
      </c>
      <c r="I75" s="80">
        <f t="shared" ref="I75:I139" si="4">((SUM($G$2:$G$4)*G75)+G75)</f>
        <v>2.9</v>
      </c>
      <c r="J75" s="79">
        <v>5</v>
      </c>
      <c r="K75" s="92" t="str">
        <f t="shared" si="3"/>
        <v>5ml</v>
      </c>
    </row>
    <row r="76" spans="2:11" x14ac:dyDescent="0.25">
      <c r="B76" s="61">
        <v>126</v>
      </c>
      <c r="C76" s="65" t="s">
        <v>379</v>
      </c>
      <c r="D76" s="79">
        <v>60</v>
      </c>
      <c r="E76" s="79" t="s">
        <v>250</v>
      </c>
      <c r="F76" s="79">
        <v>15</v>
      </c>
      <c r="G76" s="80">
        <f>F76/D76</f>
        <v>0.25</v>
      </c>
      <c r="H76" s="79" t="s">
        <v>250</v>
      </c>
      <c r="I76" s="80">
        <f t="shared" si="4"/>
        <v>0.28999999999999998</v>
      </c>
      <c r="J76" s="79">
        <v>1</v>
      </c>
      <c r="K76" s="92" t="str">
        <f t="shared" si="3"/>
        <v>1tab</v>
      </c>
    </row>
    <row r="77" spans="2:11" ht="30" x14ac:dyDescent="0.25">
      <c r="B77" s="61">
        <v>173</v>
      </c>
      <c r="C77" s="94" t="s">
        <v>380</v>
      </c>
      <c r="D77" s="79"/>
      <c r="E77" s="79"/>
      <c r="F77" s="79"/>
      <c r="G77" s="80"/>
      <c r="H77" s="79"/>
      <c r="I77" s="80">
        <f t="shared" si="4"/>
        <v>0</v>
      </c>
      <c r="J77" s="79"/>
      <c r="K77" s="92" t="str">
        <f t="shared" si="3"/>
        <v/>
      </c>
    </row>
    <row r="78" spans="2:11" ht="30" x14ac:dyDescent="0.25">
      <c r="B78" s="61">
        <v>172</v>
      </c>
      <c r="C78" s="94" t="s">
        <v>381</v>
      </c>
      <c r="D78" s="79"/>
      <c r="E78" s="79"/>
      <c r="F78" s="79"/>
      <c r="G78" s="80"/>
      <c r="H78" s="79"/>
      <c r="I78" s="80">
        <f t="shared" si="4"/>
        <v>0</v>
      </c>
      <c r="J78" s="79"/>
      <c r="K78" s="92" t="str">
        <f t="shared" si="3"/>
        <v/>
      </c>
    </row>
    <row r="79" spans="2:11" x14ac:dyDescent="0.25">
      <c r="B79" s="61">
        <v>123</v>
      </c>
      <c r="C79" s="65" t="s">
        <v>382</v>
      </c>
      <c r="D79" s="79"/>
      <c r="E79" s="79"/>
      <c r="F79" s="79"/>
      <c r="G79" s="80">
        <v>82</v>
      </c>
      <c r="H79" s="79"/>
      <c r="I79" s="80">
        <f t="shared" si="4"/>
        <v>95.12</v>
      </c>
      <c r="J79" s="79"/>
      <c r="K79" s="92" t="str">
        <f t="shared" si="3"/>
        <v/>
      </c>
    </row>
    <row r="80" spans="2:11" x14ac:dyDescent="0.25">
      <c r="B80" s="61">
        <v>101</v>
      </c>
      <c r="C80" s="65" t="s">
        <v>383</v>
      </c>
      <c r="D80" s="79"/>
      <c r="E80" s="79"/>
      <c r="F80" s="79"/>
      <c r="G80" s="80">
        <v>2</v>
      </c>
      <c r="H80" s="79" t="s">
        <v>250</v>
      </c>
      <c r="I80" s="80">
        <f t="shared" si="4"/>
        <v>2.3199999999999998</v>
      </c>
      <c r="J80" s="79">
        <v>1</v>
      </c>
      <c r="K80" s="92" t="str">
        <f t="shared" si="3"/>
        <v>1tab</v>
      </c>
    </row>
    <row r="81" spans="2:11" x14ac:dyDescent="0.25">
      <c r="B81" s="61">
        <v>81</v>
      </c>
      <c r="C81" s="65" t="s">
        <v>384</v>
      </c>
      <c r="D81" s="79">
        <v>1000</v>
      </c>
      <c r="E81" s="79" t="s">
        <v>250</v>
      </c>
      <c r="F81" s="79">
        <v>1203</v>
      </c>
      <c r="G81" s="80">
        <f>F81/D81</f>
        <v>1.2030000000000001</v>
      </c>
      <c r="H81" s="79" t="s">
        <v>250</v>
      </c>
      <c r="I81" s="80">
        <f t="shared" si="4"/>
        <v>1.3954800000000001</v>
      </c>
      <c r="J81" s="79">
        <v>1</v>
      </c>
      <c r="K81" s="92" t="str">
        <f t="shared" si="3"/>
        <v>1tab</v>
      </c>
    </row>
    <row r="82" spans="2:11" x14ac:dyDescent="0.25">
      <c r="B82" s="61">
        <v>178</v>
      </c>
      <c r="C82" s="65" t="s">
        <v>385</v>
      </c>
      <c r="D82" s="79"/>
      <c r="E82" s="79"/>
      <c r="F82" s="79"/>
      <c r="G82" s="80"/>
      <c r="H82" s="79"/>
      <c r="I82" s="80">
        <f t="shared" si="4"/>
        <v>0</v>
      </c>
      <c r="J82" s="79"/>
      <c r="K82" s="92" t="str">
        <f t="shared" si="3"/>
        <v/>
      </c>
    </row>
    <row r="83" spans="2:11" x14ac:dyDescent="0.25">
      <c r="B83" s="61">
        <v>196</v>
      </c>
      <c r="C83" s="65" t="s">
        <v>17</v>
      </c>
      <c r="D83" s="79"/>
      <c r="E83" s="79"/>
      <c r="F83" s="79"/>
      <c r="G83" s="80">
        <f>0.4*91</f>
        <v>36.4</v>
      </c>
      <c r="H83" s="79" t="s">
        <v>305</v>
      </c>
      <c r="I83" s="80">
        <f t="shared" si="4"/>
        <v>42.223999999999997</v>
      </c>
      <c r="J83" s="79">
        <v>1</v>
      </c>
      <c r="K83" s="92" t="str">
        <f t="shared" si="3"/>
        <v>1dose</v>
      </c>
    </row>
    <row r="84" spans="2:11" x14ac:dyDescent="0.25">
      <c r="B84" s="61">
        <v>97</v>
      </c>
      <c r="C84" s="65" t="s">
        <v>386</v>
      </c>
      <c r="D84" s="79">
        <v>1000</v>
      </c>
      <c r="E84" s="79" t="s">
        <v>250</v>
      </c>
      <c r="F84" s="79">
        <f>3.35*91</f>
        <v>304.85000000000002</v>
      </c>
      <c r="G84" s="80">
        <f>F84/D84</f>
        <v>0.30485000000000001</v>
      </c>
      <c r="H84" s="79" t="s">
        <v>250</v>
      </c>
      <c r="I84" s="80">
        <f t="shared" si="4"/>
        <v>0.353626</v>
      </c>
      <c r="J84" s="79">
        <v>1</v>
      </c>
      <c r="K84" s="92" t="str">
        <f t="shared" si="3"/>
        <v>1tab</v>
      </c>
    </row>
    <row r="85" spans="2:11" x14ac:dyDescent="0.25">
      <c r="B85" s="61">
        <v>35</v>
      </c>
      <c r="C85" s="94" t="s">
        <v>387</v>
      </c>
      <c r="D85" s="79"/>
      <c r="E85" s="79" t="s">
        <v>252</v>
      </c>
      <c r="F85" s="79"/>
      <c r="G85" s="80">
        <v>59</v>
      </c>
      <c r="H85" s="79"/>
      <c r="I85" s="80">
        <f t="shared" si="4"/>
        <v>68.44</v>
      </c>
      <c r="J85" s="79"/>
      <c r="K85" s="92" t="str">
        <f t="shared" si="3"/>
        <v/>
      </c>
    </row>
    <row r="86" spans="2:11" ht="30" x14ac:dyDescent="0.25">
      <c r="B86" s="61">
        <v>36</v>
      </c>
      <c r="C86" s="94" t="s">
        <v>388</v>
      </c>
      <c r="D86" s="79"/>
      <c r="E86" s="79" t="s">
        <v>252</v>
      </c>
      <c r="F86" s="79"/>
      <c r="G86" s="80">
        <v>30</v>
      </c>
      <c r="H86" s="79"/>
      <c r="I86" s="80">
        <f t="shared" si="4"/>
        <v>34.799999999999997</v>
      </c>
      <c r="J86" s="79"/>
      <c r="K86" s="92" t="str">
        <f t="shared" si="3"/>
        <v/>
      </c>
    </row>
    <row r="87" spans="2:11" x14ac:dyDescent="0.25">
      <c r="B87" s="61">
        <v>165</v>
      </c>
      <c r="C87" s="65" t="s">
        <v>389</v>
      </c>
      <c r="D87" s="79">
        <v>450</v>
      </c>
      <c r="E87" s="79" t="s">
        <v>313</v>
      </c>
      <c r="F87" s="79">
        <v>30</v>
      </c>
      <c r="G87" s="80">
        <f>F87/D87*5</f>
        <v>0.33333333333333331</v>
      </c>
      <c r="H87" s="79" t="s">
        <v>313</v>
      </c>
      <c r="I87" s="80">
        <f t="shared" si="4"/>
        <v>0.38666666666666666</v>
      </c>
      <c r="J87" s="79">
        <v>5</v>
      </c>
      <c r="K87" s="92" t="str">
        <f t="shared" si="3"/>
        <v>5ml</v>
      </c>
    </row>
    <row r="88" spans="2:11" x14ac:dyDescent="0.25">
      <c r="B88" s="61">
        <v>119</v>
      </c>
      <c r="C88" s="65" t="s">
        <v>390</v>
      </c>
      <c r="D88" s="79"/>
      <c r="E88" s="79"/>
      <c r="F88" s="79"/>
      <c r="G88" s="80">
        <f>0.1034*91</f>
        <v>9.4093999999999998</v>
      </c>
      <c r="H88" s="79" t="s">
        <v>313</v>
      </c>
      <c r="I88" s="80">
        <f t="shared" si="4"/>
        <v>10.914904</v>
      </c>
      <c r="J88" s="79">
        <v>1</v>
      </c>
      <c r="K88" s="92" t="str">
        <f t="shared" si="3"/>
        <v>1ml</v>
      </c>
    </row>
    <row r="89" spans="2:11" x14ac:dyDescent="0.25">
      <c r="B89" s="61">
        <v>118</v>
      </c>
      <c r="C89" s="65" t="s">
        <v>391</v>
      </c>
      <c r="D89" s="79">
        <v>1000</v>
      </c>
      <c r="E89" s="79" t="s">
        <v>250</v>
      </c>
      <c r="F89" s="79">
        <f>15.45*91</f>
        <v>1405.95</v>
      </c>
      <c r="G89" s="80">
        <f>F89/D89</f>
        <v>1.40595</v>
      </c>
      <c r="H89" s="79" t="s">
        <v>250</v>
      </c>
      <c r="I89" s="80">
        <f t="shared" si="4"/>
        <v>1.6309020000000001</v>
      </c>
      <c r="J89" s="79">
        <v>1</v>
      </c>
      <c r="K89" s="92" t="str">
        <f t="shared" si="3"/>
        <v>1tab</v>
      </c>
    </row>
    <row r="90" spans="2:11" x14ac:dyDescent="0.25">
      <c r="B90" s="61">
        <v>6</v>
      </c>
      <c r="C90" s="65" t="s">
        <v>22</v>
      </c>
      <c r="D90" s="79">
        <v>90</v>
      </c>
      <c r="E90" s="79" t="s">
        <v>313</v>
      </c>
      <c r="F90" s="79">
        <v>15</v>
      </c>
      <c r="G90" s="80">
        <f>F90/D90*5</f>
        <v>0.83333333333333326</v>
      </c>
      <c r="H90" s="79" t="s">
        <v>313</v>
      </c>
      <c r="I90" s="80">
        <f t="shared" si="4"/>
        <v>0.96666666666666656</v>
      </c>
      <c r="J90" s="79">
        <v>5</v>
      </c>
      <c r="K90" s="92" t="str">
        <f t="shared" si="3"/>
        <v>5ml</v>
      </c>
    </row>
    <row r="91" spans="2:11" x14ac:dyDescent="0.25">
      <c r="B91" s="61">
        <v>5</v>
      </c>
      <c r="C91" s="65" t="s">
        <v>147</v>
      </c>
      <c r="D91" s="79">
        <v>10</v>
      </c>
      <c r="E91" s="93" t="s">
        <v>250</v>
      </c>
      <c r="F91" s="79">
        <f>D91*0.8</f>
        <v>8</v>
      </c>
      <c r="G91" s="80">
        <v>0.8</v>
      </c>
      <c r="H91" s="79" t="s">
        <v>250</v>
      </c>
      <c r="I91" s="80">
        <f t="shared" si="4"/>
        <v>0.92800000000000005</v>
      </c>
      <c r="J91" s="79">
        <v>1</v>
      </c>
      <c r="K91" s="92" t="str">
        <f t="shared" si="3"/>
        <v>1tab</v>
      </c>
    </row>
    <row r="92" spans="2:11" x14ac:dyDescent="0.25">
      <c r="B92" s="61">
        <v>129</v>
      </c>
      <c r="C92" s="65" t="s">
        <v>392</v>
      </c>
      <c r="D92" s="79"/>
      <c r="E92" s="79"/>
      <c r="F92" s="79"/>
      <c r="G92" s="80">
        <v>254</v>
      </c>
      <c r="H92" s="79" t="s">
        <v>252</v>
      </c>
      <c r="I92" s="80">
        <f t="shared" si="4"/>
        <v>294.64</v>
      </c>
      <c r="J92" s="79">
        <v>1</v>
      </c>
      <c r="K92" s="92" t="str">
        <f t="shared" si="3"/>
        <v>1vial</v>
      </c>
    </row>
    <row r="93" spans="2:11" x14ac:dyDescent="0.25">
      <c r="B93" s="61">
        <v>128</v>
      </c>
      <c r="C93" s="65" t="s">
        <v>393</v>
      </c>
      <c r="D93" s="79"/>
      <c r="E93" s="79"/>
      <c r="F93" s="79"/>
      <c r="G93" s="80">
        <v>254</v>
      </c>
      <c r="H93" s="79" t="s">
        <v>252</v>
      </c>
      <c r="I93" s="80">
        <f t="shared" si="4"/>
        <v>294.64</v>
      </c>
      <c r="J93" s="79">
        <v>1</v>
      </c>
      <c r="K93" s="92" t="str">
        <f t="shared" si="3"/>
        <v>1vial</v>
      </c>
    </row>
    <row r="94" spans="2:11" x14ac:dyDescent="0.25">
      <c r="B94" s="61">
        <v>72</v>
      </c>
      <c r="C94" s="65" t="s">
        <v>394</v>
      </c>
      <c r="D94" s="79"/>
      <c r="E94" s="79" t="s">
        <v>250</v>
      </c>
      <c r="F94" s="79"/>
      <c r="G94" s="80">
        <v>3.25</v>
      </c>
      <c r="H94" s="79" t="s">
        <v>250</v>
      </c>
      <c r="I94" s="80">
        <f t="shared" si="4"/>
        <v>3.77</v>
      </c>
      <c r="J94" s="79">
        <v>1</v>
      </c>
      <c r="K94" s="92" t="str">
        <f t="shared" si="3"/>
        <v>1tab</v>
      </c>
    </row>
    <row r="95" spans="2:11" x14ac:dyDescent="0.25">
      <c r="B95" s="61">
        <v>75</v>
      </c>
      <c r="C95" s="65" t="s">
        <v>395</v>
      </c>
      <c r="D95" s="79">
        <v>1000</v>
      </c>
      <c r="E95" s="79" t="s">
        <v>250</v>
      </c>
      <c r="F95" s="79">
        <f>G95*D95</f>
        <v>1500</v>
      </c>
      <c r="G95" s="80">
        <v>1.5</v>
      </c>
      <c r="H95" s="79" t="s">
        <v>250</v>
      </c>
      <c r="I95" s="80">
        <f t="shared" si="4"/>
        <v>1.74</v>
      </c>
      <c r="J95" s="79">
        <v>1</v>
      </c>
      <c r="K95" s="92" t="str">
        <f t="shared" si="3"/>
        <v>1tab</v>
      </c>
    </row>
    <row r="96" spans="2:11" x14ac:dyDescent="0.25">
      <c r="B96" s="61">
        <v>104</v>
      </c>
      <c r="C96" s="65" t="s">
        <v>396</v>
      </c>
      <c r="D96" s="79">
        <v>10</v>
      </c>
      <c r="E96" s="79" t="s">
        <v>313</v>
      </c>
      <c r="F96" s="79"/>
      <c r="G96" s="80">
        <v>110</v>
      </c>
      <c r="H96" s="79" t="s">
        <v>313</v>
      </c>
      <c r="I96" s="80">
        <f t="shared" si="4"/>
        <v>127.6</v>
      </c>
      <c r="J96" s="79">
        <v>10</v>
      </c>
      <c r="K96" s="92" t="str">
        <f t="shared" si="3"/>
        <v>10ml</v>
      </c>
    </row>
    <row r="97" spans="2:11" x14ac:dyDescent="0.25">
      <c r="B97" s="61">
        <v>124</v>
      </c>
      <c r="C97" s="65" t="s">
        <v>11</v>
      </c>
      <c r="D97" s="79"/>
      <c r="E97" s="79"/>
      <c r="F97" s="79"/>
      <c r="G97" s="80"/>
      <c r="H97" s="79"/>
      <c r="I97" s="80">
        <f t="shared" si="4"/>
        <v>0</v>
      </c>
      <c r="J97" s="79"/>
      <c r="K97" s="92" t="str">
        <f t="shared" si="3"/>
        <v/>
      </c>
    </row>
    <row r="98" spans="2:11" x14ac:dyDescent="0.25">
      <c r="B98" s="61">
        <v>111</v>
      </c>
      <c r="C98" s="65" t="s">
        <v>397</v>
      </c>
      <c r="D98" s="79"/>
      <c r="E98" s="79"/>
      <c r="F98" s="79"/>
      <c r="G98" s="80"/>
      <c r="H98" s="79"/>
      <c r="I98" s="80">
        <f t="shared" si="4"/>
        <v>0</v>
      </c>
      <c r="J98" s="79"/>
      <c r="K98" s="92" t="str">
        <f t="shared" si="3"/>
        <v/>
      </c>
    </row>
    <row r="99" spans="2:11" x14ac:dyDescent="0.25">
      <c r="B99" s="61">
        <v>49</v>
      </c>
      <c r="C99" s="65" t="s">
        <v>398</v>
      </c>
      <c r="D99" s="79"/>
      <c r="E99" s="79"/>
      <c r="F99" s="79"/>
      <c r="G99" s="80"/>
      <c r="H99" s="79"/>
      <c r="I99" s="80">
        <f t="shared" si="4"/>
        <v>0</v>
      </c>
      <c r="J99" s="79"/>
      <c r="K99" s="92" t="str">
        <f t="shared" si="3"/>
        <v/>
      </c>
    </row>
    <row r="100" spans="2:11" x14ac:dyDescent="0.25">
      <c r="B100" s="61">
        <v>51</v>
      </c>
      <c r="C100" s="65" t="s">
        <v>399</v>
      </c>
      <c r="D100" s="79"/>
      <c r="E100" s="79"/>
      <c r="F100" s="79"/>
      <c r="G100" s="80">
        <v>5</v>
      </c>
      <c r="H100" s="79"/>
      <c r="I100" s="80">
        <f t="shared" si="4"/>
        <v>5.8</v>
      </c>
      <c r="J100" s="79"/>
      <c r="K100" s="95" t="s">
        <v>529</v>
      </c>
    </row>
    <row r="101" spans="2:11" x14ac:dyDescent="0.25">
      <c r="B101" s="61">
        <v>185</v>
      </c>
      <c r="C101" s="65" t="s">
        <v>400</v>
      </c>
      <c r="D101" s="79">
        <v>10</v>
      </c>
      <c r="E101" s="79" t="s">
        <v>313</v>
      </c>
      <c r="F101" s="79">
        <v>8</v>
      </c>
      <c r="G101" s="80">
        <f>F101/D101</f>
        <v>0.8</v>
      </c>
      <c r="H101" s="79" t="s">
        <v>313</v>
      </c>
      <c r="I101" s="80">
        <f t="shared" si="4"/>
        <v>0.92800000000000005</v>
      </c>
      <c r="J101" s="79">
        <v>1</v>
      </c>
      <c r="K101" s="92" t="str">
        <f t="shared" ref="K101:K126" si="5">J101&amp;H101</f>
        <v>1ml</v>
      </c>
    </row>
    <row r="102" spans="2:11" x14ac:dyDescent="0.25">
      <c r="B102" s="61">
        <v>186</v>
      </c>
      <c r="C102" s="65" t="s">
        <v>401</v>
      </c>
      <c r="D102" s="79">
        <v>50</v>
      </c>
      <c r="E102" s="79" t="s">
        <v>252</v>
      </c>
      <c r="F102" s="79">
        <v>700</v>
      </c>
      <c r="G102" s="80">
        <f>F102/D102</f>
        <v>14</v>
      </c>
      <c r="H102" s="79" t="s">
        <v>252</v>
      </c>
      <c r="I102" s="80">
        <f t="shared" si="4"/>
        <v>16.240000000000002</v>
      </c>
      <c r="J102" s="79">
        <v>1</v>
      </c>
      <c r="K102" s="92" t="str">
        <f t="shared" si="5"/>
        <v>1vial</v>
      </c>
    </row>
    <row r="103" spans="2:11" x14ac:dyDescent="0.25">
      <c r="B103" s="61">
        <v>93</v>
      </c>
      <c r="C103" s="65" t="s">
        <v>402</v>
      </c>
      <c r="D103" s="79">
        <v>50</v>
      </c>
      <c r="E103" s="79" t="s">
        <v>313</v>
      </c>
      <c r="F103" s="79">
        <v>90</v>
      </c>
      <c r="G103" s="80">
        <f>F103/D103</f>
        <v>1.8</v>
      </c>
      <c r="H103" s="79" t="s">
        <v>313</v>
      </c>
      <c r="I103" s="80">
        <f t="shared" si="4"/>
        <v>2.0880000000000001</v>
      </c>
      <c r="J103" s="79">
        <v>1</v>
      </c>
      <c r="K103" s="92" t="str">
        <f t="shared" si="5"/>
        <v>1ml</v>
      </c>
    </row>
    <row r="104" spans="2:11" x14ac:dyDescent="0.25">
      <c r="B104" s="61">
        <v>195</v>
      </c>
      <c r="C104" s="65" t="s">
        <v>16</v>
      </c>
      <c r="D104" s="79"/>
      <c r="E104" s="79"/>
      <c r="F104" s="79"/>
      <c r="G104" s="80">
        <f>0.3*91</f>
        <v>27.3</v>
      </c>
      <c r="H104" s="79" t="s">
        <v>305</v>
      </c>
      <c r="I104" s="80">
        <f t="shared" si="4"/>
        <v>31.667999999999999</v>
      </c>
      <c r="J104" s="79">
        <v>1</v>
      </c>
      <c r="K104" s="92" t="str">
        <f t="shared" si="5"/>
        <v>1dose</v>
      </c>
    </row>
    <row r="105" spans="2:11" x14ac:dyDescent="0.25">
      <c r="B105" s="61">
        <v>59</v>
      </c>
      <c r="C105" s="65" t="s">
        <v>403</v>
      </c>
      <c r="D105" s="79">
        <v>1000</v>
      </c>
      <c r="E105" s="79" t="s">
        <v>250</v>
      </c>
      <c r="F105" s="79">
        <v>151</v>
      </c>
      <c r="G105" s="80">
        <f>F105/D105</f>
        <v>0.151</v>
      </c>
      <c r="H105" s="79" t="s">
        <v>250</v>
      </c>
      <c r="I105" s="80">
        <f t="shared" si="4"/>
        <v>0.17515999999999998</v>
      </c>
      <c r="J105" s="79">
        <v>1</v>
      </c>
      <c r="K105" s="92" t="str">
        <f t="shared" si="5"/>
        <v>1tab</v>
      </c>
    </row>
    <row r="106" spans="2:11" x14ac:dyDescent="0.25">
      <c r="B106" s="61">
        <v>58</v>
      </c>
      <c r="C106" s="65" t="s">
        <v>404</v>
      </c>
      <c r="D106" s="79">
        <v>1000</v>
      </c>
      <c r="E106" s="79" t="s">
        <v>250</v>
      </c>
      <c r="F106" s="79">
        <v>342</v>
      </c>
      <c r="G106" s="80">
        <f>F106/D106</f>
        <v>0.34200000000000003</v>
      </c>
      <c r="H106" s="79" t="s">
        <v>250</v>
      </c>
      <c r="I106" s="80">
        <f t="shared" si="4"/>
        <v>0.39672000000000002</v>
      </c>
      <c r="J106" s="79">
        <v>1</v>
      </c>
      <c r="K106" s="92" t="str">
        <f t="shared" si="5"/>
        <v>1tab</v>
      </c>
    </row>
    <row r="107" spans="2:11" x14ac:dyDescent="0.25">
      <c r="B107" s="61">
        <v>47</v>
      </c>
      <c r="C107" s="65" t="s">
        <v>405</v>
      </c>
      <c r="D107" s="79"/>
      <c r="E107" s="79" t="s">
        <v>252</v>
      </c>
      <c r="F107" s="79"/>
      <c r="G107" s="80">
        <v>7</v>
      </c>
      <c r="H107" s="79" t="s">
        <v>326</v>
      </c>
      <c r="I107" s="80">
        <f t="shared" si="4"/>
        <v>8.120000000000001</v>
      </c>
      <c r="J107" s="79">
        <v>1</v>
      </c>
      <c r="K107" s="92" t="str">
        <f t="shared" si="5"/>
        <v>1inj</v>
      </c>
    </row>
    <row r="108" spans="2:11" x14ac:dyDescent="0.25">
      <c r="B108" s="61">
        <v>44</v>
      </c>
      <c r="C108" s="65" t="s">
        <v>406</v>
      </c>
      <c r="D108" s="79"/>
      <c r="E108" s="79"/>
      <c r="F108" s="79"/>
      <c r="G108" s="80"/>
      <c r="H108" s="79"/>
      <c r="I108" s="80">
        <f t="shared" si="4"/>
        <v>0</v>
      </c>
      <c r="J108" s="79"/>
      <c r="K108" s="92" t="str">
        <f t="shared" si="5"/>
        <v/>
      </c>
    </row>
    <row r="109" spans="2:11" x14ac:dyDescent="0.25">
      <c r="B109" s="61">
        <v>127</v>
      </c>
      <c r="C109" s="65" t="s">
        <v>407</v>
      </c>
      <c r="D109" s="79"/>
      <c r="E109" s="79"/>
      <c r="F109" s="79"/>
      <c r="G109" s="80">
        <v>0.4</v>
      </c>
      <c r="H109" s="79" t="s">
        <v>250</v>
      </c>
      <c r="I109" s="80">
        <f t="shared" si="4"/>
        <v>0.46400000000000002</v>
      </c>
      <c r="J109" s="79">
        <v>1</v>
      </c>
      <c r="K109" s="92" t="str">
        <f t="shared" si="5"/>
        <v>1tab</v>
      </c>
    </row>
    <row r="110" spans="2:11" x14ac:dyDescent="0.25">
      <c r="B110" s="61">
        <v>105</v>
      </c>
      <c r="C110" s="65" t="s">
        <v>408</v>
      </c>
      <c r="D110" s="79"/>
      <c r="E110" s="79"/>
      <c r="F110" s="79"/>
      <c r="G110" s="80">
        <v>3</v>
      </c>
      <c r="H110" s="79" t="s">
        <v>250</v>
      </c>
      <c r="I110" s="80">
        <f t="shared" si="4"/>
        <v>3.48</v>
      </c>
      <c r="J110" s="79">
        <v>1</v>
      </c>
      <c r="K110" s="92" t="str">
        <f t="shared" si="5"/>
        <v>1tab</v>
      </c>
    </row>
    <row r="111" spans="2:11" x14ac:dyDescent="0.25">
      <c r="B111" s="61">
        <v>28</v>
      </c>
      <c r="C111" s="65" t="s">
        <v>409</v>
      </c>
      <c r="D111" s="79">
        <v>60</v>
      </c>
      <c r="E111" s="79" t="s">
        <v>313</v>
      </c>
      <c r="F111" s="79">
        <v>13</v>
      </c>
      <c r="G111" s="80">
        <f>F111/D111*5</f>
        <v>1.0833333333333335</v>
      </c>
      <c r="H111" s="79" t="s">
        <v>313</v>
      </c>
      <c r="I111" s="80">
        <f t="shared" si="4"/>
        <v>1.2566666666666668</v>
      </c>
      <c r="J111" s="79">
        <v>5</v>
      </c>
      <c r="K111" s="92" t="str">
        <f t="shared" si="5"/>
        <v>5ml</v>
      </c>
    </row>
    <row r="112" spans="2:11" x14ac:dyDescent="0.25">
      <c r="B112" s="61">
        <v>27</v>
      </c>
      <c r="C112" s="65" t="s">
        <v>410</v>
      </c>
      <c r="D112" s="79"/>
      <c r="E112" s="93" t="s">
        <v>250</v>
      </c>
      <c r="F112" s="79"/>
      <c r="G112" s="80">
        <v>0.7</v>
      </c>
      <c r="H112" s="79" t="s">
        <v>250</v>
      </c>
      <c r="I112" s="80">
        <f t="shared" si="4"/>
        <v>0.81199999999999994</v>
      </c>
      <c r="J112" s="79">
        <v>1</v>
      </c>
      <c r="K112" s="92" t="str">
        <f t="shared" si="5"/>
        <v>1tab</v>
      </c>
    </row>
    <row r="113" spans="2:11" x14ac:dyDescent="0.25">
      <c r="B113" s="61">
        <v>82</v>
      </c>
      <c r="C113" s="65" t="s">
        <v>411</v>
      </c>
      <c r="D113" s="79">
        <v>15</v>
      </c>
      <c r="E113" s="79" t="s">
        <v>351</v>
      </c>
      <c r="F113" s="79">
        <f>D113*1.27</f>
        <v>19.05</v>
      </c>
      <c r="G113" s="80">
        <f>F113/D113</f>
        <v>1.27</v>
      </c>
      <c r="H113" s="79" t="s">
        <v>351</v>
      </c>
      <c r="I113" s="80">
        <f t="shared" si="4"/>
        <v>1.4732000000000001</v>
      </c>
      <c r="J113" s="79">
        <v>1</v>
      </c>
      <c r="K113" s="92" t="str">
        <f t="shared" si="5"/>
        <v>1gm</v>
      </c>
    </row>
    <row r="114" spans="2:11" x14ac:dyDescent="0.25">
      <c r="B114" s="61">
        <v>41</v>
      </c>
      <c r="C114" s="65" t="s">
        <v>412</v>
      </c>
      <c r="D114" s="79"/>
      <c r="E114" s="93" t="s">
        <v>250</v>
      </c>
      <c r="F114" s="79"/>
      <c r="G114" s="80">
        <f>0.2141*91</f>
        <v>19.4831</v>
      </c>
      <c r="H114" s="79" t="s">
        <v>250</v>
      </c>
      <c r="I114" s="80">
        <f t="shared" si="4"/>
        <v>22.600396</v>
      </c>
      <c r="J114" s="79">
        <v>1</v>
      </c>
      <c r="K114" s="92" t="str">
        <f t="shared" si="5"/>
        <v>1tab</v>
      </c>
    </row>
    <row r="115" spans="2:11" x14ac:dyDescent="0.25">
      <c r="B115" s="61">
        <v>25</v>
      </c>
      <c r="C115" s="65" t="s">
        <v>413</v>
      </c>
      <c r="D115" s="79">
        <v>3.15</v>
      </c>
      <c r="E115" s="93" t="s">
        <v>250</v>
      </c>
      <c r="F115" s="79"/>
      <c r="G115" s="80">
        <f>D115</f>
        <v>3.15</v>
      </c>
      <c r="H115" s="79" t="s">
        <v>250</v>
      </c>
      <c r="I115" s="80">
        <f t="shared" si="4"/>
        <v>3.6539999999999999</v>
      </c>
      <c r="J115" s="79">
        <v>1</v>
      </c>
      <c r="K115" s="92" t="str">
        <f t="shared" si="5"/>
        <v>1tab</v>
      </c>
    </row>
    <row r="116" spans="2:11" x14ac:dyDescent="0.25">
      <c r="B116" s="61">
        <v>161</v>
      </c>
      <c r="C116" s="65" t="s">
        <v>414</v>
      </c>
      <c r="D116" s="79"/>
      <c r="E116" s="79"/>
      <c r="F116" s="79"/>
      <c r="G116" s="80">
        <v>61</v>
      </c>
      <c r="H116" s="79" t="s">
        <v>313</v>
      </c>
      <c r="I116" s="80">
        <f t="shared" si="4"/>
        <v>70.760000000000005</v>
      </c>
      <c r="J116" s="79">
        <v>1</v>
      </c>
      <c r="K116" s="92" t="str">
        <f t="shared" si="5"/>
        <v>1ml</v>
      </c>
    </row>
    <row r="117" spans="2:11" x14ac:dyDescent="0.25">
      <c r="B117" s="61">
        <v>24</v>
      </c>
      <c r="C117" s="65" t="s">
        <v>415</v>
      </c>
      <c r="D117" s="79">
        <v>15</v>
      </c>
      <c r="E117" s="79" t="s">
        <v>351</v>
      </c>
      <c r="F117" s="79">
        <v>13</v>
      </c>
      <c r="G117" s="80">
        <f>F117/D117*(5)</f>
        <v>4.3333333333333339</v>
      </c>
      <c r="H117" s="79" t="s">
        <v>351</v>
      </c>
      <c r="I117" s="80">
        <f t="shared" si="4"/>
        <v>5.0266666666666673</v>
      </c>
      <c r="J117" s="79">
        <v>5</v>
      </c>
      <c r="K117" s="92" t="str">
        <f t="shared" si="5"/>
        <v>5gm</v>
      </c>
    </row>
    <row r="118" spans="2:11" x14ac:dyDescent="0.25">
      <c r="B118" s="61">
        <v>48</v>
      </c>
      <c r="C118" s="65" t="s">
        <v>416</v>
      </c>
      <c r="D118" s="79"/>
      <c r="E118" s="79" t="s">
        <v>250</v>
      </c>
      <c r="F118" s="79"/>
      <c r="G118" s="80"/>
      <c r="H118" s="79"/>
      <c r="I118" s="80">
        <f t="shared" si="4"/>
        <v>0</v>
      </c>
      <c r="J118" s="79"/>
      <c r="K118" s="92" t="str">
        <f t="shared" si="5"/>
        <v/>
      </c>
    </row>
    <row r="119" spans="2:11" x14ac:dyDescent="0.25">
      <c r="B119" s="61">
        <v>46</v>
      </c>
      <c r="C119" s="65" t="s">
        <v>417</v>
      </c>
      <c r="D119" s="79"/>
      <c r="E119" s="79" t="s">
        <v>252</v>
      </c>
      <c r="F119" s="79"/>
      <c r="G119" s="80">
        <v>7</v>
      </c>
      <c r="H119" s="79" t="s">
        <v>252</v>
      </c>
      <c r="I119" s="80">
        <f t="shared" si="4"/>
        <v>8.120000000000001</v>
      </c>
      <c r="J119" s="79">
        <v>1</v>
      </c>
      <c r="K119" s="92" t="str">
        <f t="shared" si="5"/>
        <v>1vial</v>
      </c>
    </row>
    <row r="120" spans="2:11" x14ac:dyDescent="0.25">
      <c r="B120" s="61">
        <v>26</v>
      </c>
      <c r="C120" s="65" t="s">
        <v>418</v>
      </c>
      <c r="D120" s="79"/>
      <c r="E120" s="93" t="s">
        <v>250</v>
      </c>
      <c r="F120" s="79"/>
      <c r="G120" s="80">
        <v>3</v>
      </c>
      <c r="H120" s="79" t="s">
        <v>250</v>
      </c>
      <c r="I120" s="80">
        <f t="shared" si="4"/>
        <v>3.48</v>
      </c>
      <c r="J120" s="79">
        <v>1</v>
      </c>
      <c r="K120" s="92" t="str">
        <f t="shared" si="5"/>
        <v>1tab</v>
      </c>
    </row>
    <row r="121" spans="2:11" x14ac:dyDescent="0.25">
      <c r="B121" s="61">
        <v>79</v>
      </c>
      <c r="C121" s="65" t="s">
        <v>419</v>
      </c>
      <c r="D121" s="79">
        <v>30</v>
      </c>
      <c r="E121" s="79" t="s">
        <v>313</v>
      </c>
      <c r="F121" s="79">
        <v>63</v>
      </c>
      <c r="G121" s="80">
        <f>(0.023*91)/30*5</f>
        <v>0.34883333333333333</v>
      </c>
      <c r="H121" s="79" t="s">
        <v>313</v>
      </c>
      <c r="I121" s="80">
        <f t="shared" si="4"/>
        <v>0.40464666666666665</v>
      </c>
      <c r="J121" s="79">
        <v>5</v>
      </c>
      <c r="K121" s="92" t="str">
        <f t="shared" si="5"/>
        <v>5ml</v>
      </c>
    </row>
    <row r="122" spans="2:11" x14ac:dyDescent="0.25">
      <c r="B122" s="61">
        <v>78</v>
      </c>
      <c r="C122" s="65" t="s">
        <v>420</v>
      </c>
      <c r="D122" s="79"/>
      <c r="E122" s="79" t="s">
        <v>250</v>
      </c>
      <c r="F122" s="79"/>
      <c r="G122" s="80">
        <v>3.1</v>
      </c>
      <c r="H122" s="79" t="s">
        <v>250</v>
      </c>
      <c r="I122" s="80">
        <f t="shared" si="4"/>
        <v>3.5960000000000001</v>
      </c>
      <c r="J122" s="79">
        <v>1</v>
      </c>
      <c r="K122" s="92" t="str">
        <f t="shared" si="5"/>
        <v>1tab</v>
      </c>
    </row>
    <row r="123" spans="2:11" x14ac:dyDescent="0.25">
      <c r="B123" s="61">
        <v>43</v>
      </c>
      <c r="C123" s="65" t="s">
        <v>421</v>
      </c>
      <c r="D123" s="79"/>
      <c r="E123" s="79"/>
      <c r="F123" s="79"/>
      <c r="G123" s="80"/>
      <c r="H123" s="79"/>
      <c r="I123" s="80">
        <f t="shared" si="4"/>
        <v>0</v>
      </c>
      <c r="J123" s="79"/>
      <c r="K123" s="92" t="str">
        <f t="shared" si="5"/>
        <v/>
      </c>
    </row>
    <row r="124" spans="2:11" x14ac:dyDescent="0.25">
      <c r="B124" s="61">
        <v>112</v>
      </c>
      <c r="C124" s="65" t="s">
        <v>422</v>
      </c>
      <c r="D124" s="79"/>
      <c r="E124" s="79"/>
      <c r="F124" s="79"/>
      <c r="G124" s="80">
        <v>0.75</v>
      </c>
      <c r="H124" s="79" t="s">
        <v>374</v>
      </c>
      <c r="I124" s="80">
        <f t="shared" si="4"/>
        <v>0.87</v>
      </c>
      <c r="J124" s="79">
        <v>1</v>
      </c>
      <c r="K124" s="92" t="str">
        <f t="shared" si="5"/>
        <v>1cap</v>
      </c>
    </row>
    <row r="125" spans="2:11" x14ac:dyDescent="0.25">
      <c r="B125" s="61">
        <v>193</v>
      </c>
      <c r="C125" s="65" t="s">
        <v>15</v>
      </c>
      <c r="D125" s="79"/>
      <c r="E125" s="79"/>
      <c r="F125" s="79"/>
      <c r="G125" s="80">
        <f>(3.1*91)/20</f>
        <v>14.105</v>
      </c>
      <c r="H125" s="79" t="s">
        <v>305</v>
      </c>
      <c r="I125" s="80">
        <f t="shared" si="4"/>
        <v>16.361800000000002</v>
      </c>
      <c r="J125" s="79">
        <v>1</v>
      </c>
      <c r="K125" s="92" t="str">
        <f t="shared" si="5"/>
        <v>1dose</v>
      </c>
    </row>
    <row r="126" spans="2:11" ht="60" x14ac:dyDescent="0.25">
      <c r="B126" s="61">
        <v>54</v>
      </c>
      <c r="C126" s="94" t="s">
        <v>423</v>
      </c>
      <c r="D126" s="79"/>
      <c r="E126" s="79"/>
      <c r="F126" s="79"/>
      <c r="G126" s="80">
        <v>3.5</v>
      </c>
      <c r="H126" s="79" t="s">
        <v>424</v>
      </c>
      <c r="I126" s="80">
        <f t="shared" si="4"/>
        <v>4.0600000000000005</v>
      </c>
      <c r="J126" s="79">
        <v>1</v>
      </c>
      <c r="K126" s="92" t="str">
        <f t="shared" si="5"/>
        <v>1pack</v>
      </c>
    </row>
    <row r="127" spans="2:11" ht="30" x14ac:dyDescent="0.25">
      <c r="B127" s="61">
        <v>53</v>
      </c>
      <c r="C127" s="94" t="s">
        <v>425</v>
      </c>
      <c r="D127" s="79">
        <v>20</v>
      </c>
      <c r="E127" s="79" t="s">
        <v>424</v>
      </c>
      <c r="F127" s="79">
        <v>74</v>
      </c>
      <c r="G127" s="80">
        <f>F127/D127</f>
        <v>3.7</v>
      </c>
      <c r="H127" s="79" t="s">
        <v>424</v>
      </c>
      <c r="I127" s="80">
        <f t="shared" si="4"/>
        <v>4.2919999999999998</v>
      </c>
      <c r="J127" s="79">
        <v>1</v>
      </c>
      <c r="K127" s="92" t="str">
        <f t="shared" ref="K127:K172" si="6">J127&amp;H127</f>
        <v>1pack</v>
      </c>
    </row>
    <row r="128" spans="2:11" x14ac:dyDescent="0.25">
      <c r="B128" s="61">
        <v>39</v>
      </c>
      <c r="C128" s="94" t="s">
        <v>426</v>
      </c>
      <c r="D128" s="79">
        <v>9</v>
      </c>
      <c r="E128" s="79" t="s">
        <v>252</v>
      </c>
      <c r="F128" s="79"/>
      <c r="G128" s="80">
        <v>9</v>
      </c>
      <c r="H128" s="79" t="s">
        <v>326</v>
      </c>
      <c r="I128" s="80">
        <f t="shared" si="4"/>
        <v>10.44</v>
      </c>
      <c r="J128" s="79">
        <v>1</v>
      </c>
      <c r="K128" s="92" t="str">
        <f t="shared" si="6"/>
        <v>1inj</v>
      </c>
    </row>
    <row r="129" spans="2:11" x14ac:dyDescent="0.25">
      <c r="B129" s="61">
        <v>194</v>
      </c>
      <c r="C129" s="65" t="s">
        <v>427</v>
      </c>
      <c r="D129" s="79"/>
      <c r="E129" s="79"/>
      <c r="F129" s="79"/>
      <c r="G129" s="80">
        <v>340</v>
      </c>
      <c r="H129" s="79" t="s">
        <v>305</v>
      </c>
      <c r="I129" s="80">
        <f t="shared" si="4"/>
        <v>394.4</v>
      </c>
      <c r="J129" s="79"/>
      <c r="K129" s="92" t="str">
        <f t="shared" si="6"/>
        <v>dose</v>
      </c>
    </row>
    <row r="130" spans="2:11" x14ac:dyDescent="0.25">
      <c r="B130" s="61">
        <v>89</v>
      </c>
      <c r="C130" s="83" t="s">
        <v>524</v>
      </c>
      <c r="D130" s="79"/>
      <c r="E130" s="79"/>
      <c r="F130" s="79"/>
      <c r="G130" s="80"/>
      <c r="H130" s="93" t="s">
        <v>305</v>
      </c>
      <c r="I130" s="80">
        <f>7*91</f>
        <v>637</v>
      </c>
      <c r="J130" s="79">
        <v>1</v>
      </c>
      <c r="K130" s="92" t="str">
        <f t="shared" si="6"/>
        <v>1dose</v>
      </c>
    </row>
    <row r="131" spans="2:11" x14ac:dyDescent="0.25">
      <c r="B131" s="61">
        <v>181</v>
      </c>
      <c r="C131" s="65" t="s">
        <v>428</v>
      </c>
      <c r="D131" s="79">
        <v>100</v>
      </c>
      <c r="E131" s="79" t="s">
        <v>351</v>
      </c>
      <c r="F131" s="79">
        <f>4.25*91</f>
        <v>386.75</v>
      </c>
      <c r="G131" s="80">
        <f>F131/D131</f>
        <v>3.8675000000000002</v>
      </c>
      <c r="H131" s="79" t="s">
        <v>351</v>
      </c>
      <c r="I131" s="80">
        <f t="shared" si="4"/>
        <v>4.4863</v>
      </c>
      <c r="J131" s="79">
        <v>1</v>
      </c>
      <c r="K131" s="92" t="str">
        <f t="shared" si="6"/>
        <v>1gm</v>
      </c>
    </row>
    <row r="132" spans="2:11" x14ac:dyDescent="0.25">
      <c r="B132" s="61">
        <v>132</v>
      </c>
      <c r="C132" s="65" t="s">
        <v>429</v>
      </c>
      <c r="D132" s="79">
        <v>20</v>
      </c>
      <c r="E132" s="79" t="s">
        <v>351</v>
      </c>
      <c r="F132" s="79">
        <v>40</v>
      </c>
      <c r="G132" s="80">
        <f>F132/D132*1</f>
        <v>2</v>
      </c>
      <c r="H132" s="79" t="s">
        <v>351</v>
      </c>
      <c r="I132" s="80">
        <f t="shared" si="4"/>
        <v>2.3199999999999998</v>
      </c>
      <c r="J132" s="79">
        <v>1</v>
      </c>
      <c r="K132" s="92" t="str">
        <f t="shared" si="6"/>
        <v>1gm</v>
      </c>
    </row>
    <row r="133" spans="2:11" x14ac:dyDescent="0.25">
      <c r="B133" s="61">
        <v>139</v>
      </c>
      <c r="C133" s="65" t="s">
        <v>430</v>
      </c>
      <c r="D133" s="79"/>
      <c r="E133" s="79"/>
      <c r="F133" s="79"/>
      <c r="G133" s="80"/>
      <c r="H133" s="79"/>
      <c r="I133" s="80">
        <f t="shared" si="4"/>
        <v>0</v>
      </c>
      <c r="J133" s="79"/>
      <c r="K133" s="92" t="str">
        <f t="shared" si="6"/>
        <v/>
      </c>
    </row>
    <row r="134" spans="2:11" ht="30" x14ac:dyDescent="0.25">
      <c r="B134" s="61">
        <v>163</v>
      </c>
      <c r="C134" s="94" t="s">
        <v>431</v>
      </c>
      <c r="D134" s="79"/>
      <c r="E134" s="79"/>
      <c r="F134" s="79"/>
      <c r="G134" s="80"/>
      <c r="H134" s="79"/>
      <c r="I134" s="80">
        <f t="shared" si="4"/>
        <v>0</v>
      </c>
      <c r="J134" s="79"/>
      <c r="K134" s="92" t="str">
        <f t="shared" si="6"/>
        <v/>
      </c>
    </row>
    <row r="135" spans="2:11" x14ac:dyDescent="0.25">
      <c r="B135" s="61">
        <v>146</v>
      </c>
      <c r="C135" s="65" t="s">
        <v>432</v>
      </c>
      <c r="D135" s="79">
        <v>450</v>
      </c>
      <c r="E135" s="79" t="s">
        <v>313</v>
      </c>
      <c r="F135" s="79">
        <v>128</v>
      </c>
      <c r="G135" s="80">
        <f>F135/D135*5</f>
        <v>1.4222222222222223</v>
      </c>
      <c r="H135" s="79" t="s">
        <v>313</v>
      </c>
      <c r="I135" s="80">
        <f t="shared" si="4"/>
        <v>1.6497777777777778</v>
      </c>
      <c r="J135" s="79">
        <v>5</v>
      </c>
      <c r="K135" s="92" t="str">
        <f t="shared" si="6"/>
        <v>5ml</v>
      </c>
    </row>
    <row r="136" spans="2:11" x14ac:dyDescent="0.25">
      <c r="B136" s="61">
        <v>67</v>
      </c>
      <c r="C136" s="65" t="s">
        <v>433</v>
      </c>
      <c r="D136" s="79"/>
      <c r="E136" s="79"/>
      <c r="F136" s="79"/>
      <c r="G136" s="80">
        <v>1.1000000000000001</v>
      </c>
      <c r="H136" s="79" t="s">
        <v>250</v>
      </c>
      <c r="I136" s="80">
        <f t="shared" si="4"/>
        <v>1.276</v>
      </c>
      <c r="J136" s="79">
        <v>1</v>
      </c>
      <c r="K136" s="92" t="str">
        <f t="shared" si="6"/>
        <v>1tab</v>
      </c>
    </row>
    <row r="137" spans="2:11" x14ac:dyDescent="0.25">
      <c r="B137" s="61">
        <v>102</v>
      </c>
      <c r="C137" s="65" t="s">
        <v>434</v>
      </c>
      <c r="D137" s="79"/>
      <c r="E137" s="79" t="s">
        <v>250</v>
      </c>
      <c r="F137" s="79"/>
      <c r="G137" s="80">
        <v>1</v>
      </c>
      <c r="H137" s="79" t="s">
        <v>250</v>
      </c>
      <c r="I137" s="80">
        <f t="shared" si="4"/>
        <v>1.1599999999999999</v>
      </c>
      <c r="J137" s="79">
        <v>1</v>
      </c>
      <c r="K137" s="92" t="str">
        <f t="shared" si="6"/>
        <v>1tab</v>
      </c>
    </row>
    <row r="138" spans="2:11" x14ac:dyDescent="0.25">
      <c r="B138" s="61">
        <v>155</v>
      </c>
      <c r="C138" s="65" t="s">
        <v>435</v>
      </c>
      <c r="D138" s="79"/>
      <c r="E138" s="79"/>
      <c r="F138" s="79"/>
      <c r="G138" s="80">
        <v>0.47</v>
      </c>
      <c r="H138" s="79" t="s">
        <v>250</v>
      </c>
      <c r="I138" s="80">
        <f t="shared" si="4"/>
        <v>0.54520000000000002</v>
      </c>
      <c r="J138" s="79">
        <v>1</v>
      </c>
      <c r="K138" s="92" t="str">
        <f t="shared" si="6"/>
        <v>1tab</v>
      </c>
    </row>
    <row r="139" spans="2:11" x14ac:dyDescent="0.25">
      <c r="B139" s="61">
        <v>110</v>
      </c>
      <c r="C139" s="65" t="s">
        <v>436</v>
      </c>
      <c r="D139" s="79"/>
      <c r="E139" s="79"/>
      <c r="F139" s="79"/>
      <c r="G139" s="80">
        <v>1.5</v>
      </c>
      <c r="H139" s="79" t="s">
        <v>250</v>
      </c>
      <c r="I139" s="80">
        <f t="shared" si="4"/>
        <v>1.74</v>
      </c>
      <c r="J139" s="79">
        <v>1</v>
      </c>
      <c r="K139" s="92" t="str">
        <f t="shared" si="6"/>
        <v>1tab</v>
      </c>
    </row>
    <row r="140" spans="2:11" x14ac:dyDescent="0.25">
      <c r="B140" s="61">
        <v>73</v>
      </c>
      <c r="C140" s="65" t="s">
        <v>437</v>
      </c>
      <c r="D140" s="79">
        <v>20</v>
      </c>
      <c r="E140" s="79" t="s">
        <v>250</v>
      </c>
      <c r="F140" s="79">
        <v>20</v>
      </c>
      <c r="G140" s="80">
        <v>1</v>
      </c>
      <c r="H140" s="79" t="s">
        <v>250</v>
      </c>
      <c r="I140" s="80">
        <f t="shared" ref="I140:I176" si="7">((SUM($G$2:$G$4)*G140)+G140)</f>
        <v>1.1599999999999999</v>
      </c>
      <c r="J140" s="79">
        <v>1</v>
      </c>
      <c r="K140" s="92" t="str">
        <f t="shared" si="6"/>
        <v>1tab</v>
      </c>
    </row>
    <row r="141" spans="2:11" ht="45" x14ac:dyDescent="0.25">
      <c r="B141" s="61">
        <v>70</v>
      </c>
      <c r="C141" s="94" t="s">
        <v>438</v>
      </c>
      <c r="D141" s="79"/>
      <c r="E141" s="79" t="s">
        <v>250</v>
      </c>
      <c r="F141" s="79"/>
      <c r="G141" s="80">
        <v>6</v>
      </c>
      <c r="H141" s="79" t="s">
        <v>250</v>
      </c>
      <c r="I141" s="80">
        <f t="shared" si="7"/>
        <v>6.96</v>
      </c>
      <c r="J141" s="79">
        <v>1</v>
      </c>
      <c r="K141" s="92" t="str">
        <f t="shared" si="6"/>
        <v>1tab</v>
      </c>
    </row>
    <row r="142" spans="2:11" x14ac:dyDescent="0.25">
      <c r="B142" s="61">
        <v>71</v>
      </c>
      <c r="C142" s="65" t="s">
        <v>439</v>
      </c>
      <c r="D142" s="79"/>
      <c r="E142" s="79" t="s">
        <v>250</v>
      </c>
      <c r="F142" s="79"/>
      <c r="G142" s="80">
        <f>2+0.5</f>
        <v>2.5</v>
      </c>
      <c r="H142" s="79" t="s">
        <v>250</v>
      </c>
      <c r="I142" s="80">
        <f t="shared" si="7"/>
        <v>2.9</v>
      </c>
      <c r="J142" s="79">
        <v>1</v>
      </c>
      <c r="K142" s="92" t="str">
        <f t="shared" si="6"/>
        <v>1tab</v>
      </c>
    </row>
    <row r="143" spans="2:11" x14ac:dyDescent="0.25">
      <c r="B143" s="61">
        <v>176</v>
      </c>
      <c r="C143" s="65" t="s">
        <v>440</v>
      </c>
      <c r="D143" s="79"/>
      <c r="E143" s="79" t="s">
        <v>250</v>
      </c>
      <c r="F143" s="79"/>
      <c r="G143" s="80">
        <v>4.5</v>
      </c>
      <c r="H143" s="79" t="s">
        <v>250</v>
      </c>
      <c r="I143" s="80">
        <f t="shared" si="7"/>
        <v>5.22</v>
      </c>
      <c r="J143" s="79">
        <v>1</v>
      </c>
      <c r="K143" s="92" t="str">
        <f t="shared" si="6"/>
        <v>1tab</v>
      </c>
    </row>
    <row r="144" spans="2:11" x14ac:dyDescent="0.25">
      <c r="B144" s="61">
        <v>177</v>
      </c>
      <c r="C144" s="65" t="s">
        <v>441</v>
      </c>
      <c r="D144" s="79">
        <v>1000</v>
      </c>
      <c r="E144" s="79" t="s">
        <v>313</v>
      </c>
      <c r="F144" s="79">
        <v>50</v>
      </c>
      <c r="G144" s="80">
        <v>50</v>
      </c>
      <c r="H144" s="79" t="s">
        <v>313</v>
      </c>
      <c r="I144" s="80">
        <f t="shared" si="7"/>
        <v>58</v>
      </c>
      <c r="J144" s="79">
        <v>1000</v>
      </c>
      <c r="K144" s="92" t="str">
        <f t="shared" si="6"/>
        <v>1000ml</v>
      </c>
    </row>
    <row r="145" spans="2:11" x14ac:dyDescent="0.25">
      <c r="B145" s="61">
        <v>141</v>
      </c>
      <c r="C145" s="65" t="s">
        <v>442</v>
      </c>
      <c r="D145" s="79">
        <v>500</v>
      </c>
      <c r="E145" s="79" t="s">
        <v>313</v>
      </c>
      <c r="F145" s="79">
        <v>35</v>
      </c>
      <c r="G145" s="80">
        <v>35</v>
      </c>
      <c r="H145" s="79" t="s">
        <v>313</v>
      </c>
      <c r="I145" s="80">
        <f t="shared" si="7"/>
        <v>40.6</v>
      </c>
      <c r="J145" s="79">
        <v>500</v>
      </c>
      <c r="K145" s="92" t="str">
        <f t="shared" si="6"/>
        <v>500ml</v>
      </c>
    </row>
    <row r="146" spans="2:11" x14ac:dyDescent="0.25">
      <c r="B146" s="61">
        <v>143</v>
      </c>
      <c r="C146" s="65" t="s">
        <v>443</v>
      </c>
      <c r="D146" s="79">
        <v>20</v>
      </c>
      <c r="E146" s="79" t="s">
        <v>313</v>
      </c>
      <c r="F146" s="79">
        <v>18</v>
      </c>
      <c r="G146" s="80">
        <f>F146/D146</f>
        <v>0.9</v>
      </c>
      <c r="H146" s="79" t="s">
        <v>313</v>
      </c>
      <c r="I146" s="80">
        <f t="shared" si="7"/>
        <v>1.044</v>
      </c>
      <c r="J146" s="79">
        <v>1</v>
      </c>
      <c r="K146" s="92" t="str">
        <f t="shared" si="6"/>
        <v>1ml</v>
      </c>
    </row>
    <row r="147" spans="2:11" x14ac:dyDescent="0.25">
      <c r="B147" s="61">
        <v>142</v>
      </c>
      <c r="C147" s="65" t="s">
        <v>444</v>
      </c>
      <c r="D147" s="79">
        <v>100</v>
      </c>
      <c r="E147" s="79" t="s">
        <v>313</v>
      </c>
      <c r="F147" s="79">
        <f>G147/5*D147</f>
        <v>52.779999999999994</v>
      </c>
      <c r="G147" s="80">
        <f>0.0058*91*5</f>
        <v>2.6389999999999998</v>
      </c>
      <c r="H147" s="79" t="s">
        <v>313</v>
      </c>
      <c r="I147" s="80">
        <f t="shared" si="7"/>
        <v>3.0612399999999997</v>
      </c>
      <c r="J147" s="79">
        <v>5</v>
      </c>
      <c r="K147" s="92" t="str">
        <f t="shared" si="6"/>
        <v>5ml</v>
      </c>
    </row>
    <row r="148" spans="2:11" x14ac:dyDescent="0.25">
      <c r="B148" s="61">
        <v>182</v>
      </c>
      <c r="C148" s="65" t="s">
        <v>445</v>
      </c>
      <c r="D148" s="79">
        <v>100</v>
      </c>
      <c r="E148" s="79" t="s">
        <v>250</v>
      </c>
      <c r="F148" s="79">
        <v>23</v>
      </c>
      <c r="G148" s="80">
        <v>0.35</v>
      </c>
      <c r="H148" s="79" t="s">
        <v>250</v>
      </c>
      <c r="I148" s="80">
        <f t="shared" si="7"/>
        <v>0.40599999999999997</v>
      </c>
      <c r="J148" s="79">
        <v>1</v>
      </c>
      <c r="K148" s="92" t="str">
        <f t="shared" si="6"/>
        <v>1tab</v>
      </c>
    </row>
    <row r="149" spans="2:11" x14ac:dyDescent="0.25">
      <c r="B149" s="61">
        <v>137</v>
      </c>
      <c r="C149" s="65" t="s">
        <v>446</v>
      </c>
      <c r="D149" s="79"/>
      <c r="E149" s="79"/>
      <c r="F149" s="79"/>
      <c r="G149" s="80"/>
      <c r="H149" s="79"/>
      <c r="I149" s="80">
        <f t="shared" si="7"/>
        <v>0</v>
      </c>
      <c r="J149" s="79"/>
      <c r="K149" s="92" t="str">
        <f t="shared" si="6"/>
        <v/>
      </c>
    </row>
    <row r="150" spans="2:11" x14ac:dyDescent="0.25">
      <c r="B150" s="61">
        <v>175</v>
      </c>
      <c r="C150" s="65" t="s">
        <v>447</v>
      </c>
      <c r="D150" s="79">
        <v>10</v>
      </c>
      <c r="E150" s="79" t="s">
        <v>313</v>
      </c>
      <c r="F150" s="79">
        <v>7.5</v>
      </c>
      <c r="G150" s="80">
        <f>F150/D150</f>
        <v>0.75</v>
      </c>
      <c r="H150" s="79" t="s">
        <v>313</v>
      </c>
      <c r="I150" s="80">
        <f t="shared" si="7"/>
        <v>0.87</v>
      </c>
      <c r="J150" s="79">
        <v>1</v>
      </c>
      <c r="K150" s="92" t="str">
        <f t="shared" si="6"/>
        <v>1ml</v>
      </c>
    </row>
    <row r="151" spans="2:11" x14ac:dyDescent="0.25">
      <c r="B151" s="61">
        <v>174</v>
      </c>
      <c r="C151" s="65" t="s">
        <v>14</v>
      </c>
      <c r="D151" s="79">
        <v>20</v>
      </c>
      <c r="E151" s="79" t="s">
        <v>313</v>
      </c>
      <c r="F151" s="79">
        <v>12</v>
      </c>
      <c r="G151" s="80">
        <v>12</v>
      </c>
      <c r="H151" s="79" t="s">
        <v>313</v>
      </c>
      <c r="I151" s="80">
        <f t="shared" si="7"/>
        <v>13.92</v>
      </c>
      <c r="J151" s="79">
        <v>20</v>
      </c>
      <c r="K151" s="92" t="str">
        <f t="shared" si="6"/>
        <v>20ml</v>
      </c>
    </row>
    <row r="152" spans="2:11" x14ac:dyDescent="0.25">
      <c r="B152" s="61">
        <v>98</v>
      </c>
      <c r="C152" s="65" t="s">
        <v>448</v>
      </c>
      <c r="D152" s="79">
        <v>1000</v>
      </c>
      <c r="E152" s="79" t="s">
        <v>313</v>
      </c>
      <c r="F152" s="79">
        <v>36</v>
      </c>
      <c r="G152" s="80">
        <v>36</v>
      </c>
      <c r="H152" s="79" t="s">
        <v>313</v>
      </c>
      <c r="I152" s="80">
        <f t="shared" si="7"/>
        <v>41.76</v>
      </c>
      <c r="J152" s="79">
        <v>1000</v>
      </c>
      <c r="K152" s="92" t="str">
        <f t="shared" si="6"/>
        <v>1000ml</v>
      </c>
    </row>
    <row r="153" spans="2:11" x14ac:dyDescent="0.25">
      <c r="B153" s="61">
        <v>74</v>
      </c>
      <c r="C153" s="65" t="s">
        <v>449</v>
      </c>
      <c r="D153" s="79"/>
      <c r="E153" s="79"/>
      <c r="F153" s="79"/>
      <c r="G153" s="80">
        <v>3.04</v>
      </c>
      <c r="H153" s="79" t="s">
        <v>250</v>
      </c>
      <c r="I153" s="80">
        <f t="shared" si="7"/>
        <v>3.5264000000000002</v>
      </c>
      <c r="J153" s="79">
        <v>1</v>
      </c>
      <c r="K153" s="92" t="str">
        <f t="shared" si="6"/>
        <v>1tab</v>
      </c>
    </row>
    <row r="154" spans="2:11" x14ac:dyDescent="0.25">
      <c r="B154" s="61">
        <v>65</v>
      </c>
      <c r="C154" s="65" t="s">
        <v>450</v>
      </c>
      <c r="D154" s="79"/>
      <c r="E154" s="79" t="s">
        <v>252</v>
      </c>
      <c r="F154" s="79"/>
      <c r="G154" s="80">
        <v>2.19</v>
      </c>
      <c r="H154" s="79" t="s">
        <v>326</v>
      </c>
      <c r="I154" s="80">
        <f t="shared" si="7"/>
        <v>2.5404</v>
      </c>
      <c r="J154" s="79">
        <v>1</v>
      </c>
      <c r="K154" s="92" t="str">
        <f t="shared" si="6"/>
        <v>1inj</v>
      </c>
    </row>
    <row r="155" spans="2:11" ht="30" x14ac:dyDescent="0.25">
      <c r="B155" s="61">
        <v>64</v>
      </c>
      <c r="C155" s="94" t="s">
        <v>451</v>
      </c>
      <c r="D155" s="79">
        <v>15</v>
      </c>
      <c r="E155" s="79" t="s">
        <v>313</v>
      </c>
      <c r="F155" s="79">
        <v>15</v>
      </c>
      <c r="G155" s="80">
        <f>F155/D155*5</f>
        <v>5</v>
      </c>
      <c r="H155" s="79" t="s">
        <v>313</v>
      </c>
      <c r="I155" s="80">
        <f t="shared" si="7"/>
        <v>5.8</v>
      </c>
      <c r="J155" s="79">
        <v>5</v>
      </c>
      <c r="K155" s="92" t="str">
        <f t="shared" si="6"/>
        <v>5ml</v>
      </c>
    </row>
    <row r="156" spans="2:11" ht="30" x14ac:dyDescent="0.25">
      <c r="B156" s="61">
        <v>16</v>
      </c>
      <c r="C156" s="94" t="s">
        <v>452</v>
      </c>
      <c r="D156" s="79"/>
      <c r="E156" s="79" t="s">
        <v>250</v>
      </c>
      <c r="F156" s="79"/>
      <c r="G156" s="80">
        <v>2.25</v>
      </c>
      <c r="H156" s="79" t="s">
        <v>250</v>
      </c>
      <c r="I156" s="80">
        <f t="shared" si="7"/>
        <v>2.61</v>
      </c>
      <c r="J156" s="79">
        <v>1</v>
      </c>
      <c r="K156" s="92" t="str">
        <f t="shared" si="6"/>
        <v>1tab</v>
      </c>
    </row>
    <row r="157" spans="2:11" ht="30" x14ac:dyDescent="0.25">
      <c r="B157" s="61">
        <v>15</v>
      </c>
      <c r="C157" s="94" t="s">
        <v>145</v>
      </c>
      <c r="D157" s="79"/>
      <c r="E157" s="79"/>
      <c r="F157" s="79"/>
      <c r="G157" s="80">
        <v>1.2</v>
      </c>
      <c r="H157" s="79" t="s">
        <v>313</v>
      </c>
      <c r="I157" s="80">
        <f t="shared" si="7"/>
        <v>1.3919999999999999</v>
      </c>
      <c r="J157" s="79">
        <v>5</v>
      </c>
      <c r="K157" s="92" t="str">
        <f t="shared" si="6"/>
        <v>5ml</v>
      </c>
    </row>
    <row r="158" spans="2:11" ht="30" x14ac:dyDescent="0.25">
      <c r="B158" s="61">
        <v>131</v>
      </c>
      <c r="C158" s="94" t="s">
        <v>453</v>
      </c>
      <c r="D158" s="79">
        <v>10</v>
      </c>
      <c r="E158" s="93" t="s">
        <v>374</v>
      </c>
      <c r="F158" s="79">
        <f>D158*1</f>
        <v>10</v>
      </c>
      <c r="G158" s="80">
        <v>1</v>
      </c>
      <c r="H158" s="79" t="s">
        <v>374</v>
      </c>
      <c r="I158" s="80">
        <f t="shared" si="7"/>
        <v>1.1599999999999999</v>
      </c>
      <c r="J158" s="79">
        <v>1</v>
      </c>
      <c r="K158" s="92" t="str">
        <f t="shared" si="6"/>
        <v>1cap</v>
      </c>
    </row>
    <row r="159" spans="2:11" x14ac:dyDescent="0.25">
      <c r="B159" s="61">
        <v>197</v>
      </c>
      <c r="C159" s="65" t="s">
        <v>454</v>
      </c>
      <c r="D159" s="79">
        <v>10</v>
      </c>
      <c r="E159" s="79" t="s">
        <v>313</v>
      </c>
      <c r="F159" s="79">
        <v>17</v>
      </c>
      <c r="G159" s="80">
        <v>17</v>
      </c>
      <c r="H159" s="79" t="s">
        <v>313</v>
      </c>
      <c r="I159" s="80">
        <f t="shared" si="7"/>
        <v>19.72</v>
      </c>
      <c r="J159" s="79">
        <v>10</v>
      </c>
      <c r="K159" s="92" t="str">
        <f t="shared" si="6"/>
        <v>10ml</v>
      </c>
    </row>
    <row r="160" spans="2:11" x14ac:dyDescent="0.25">
      <c r="B160" s="61">
        <v>133</v>
      </c>
      <c r="C160" s="65" t="s">
        <v>18</v>
      </c>
      <c r="D160" s="79"/>
      <c r="E160" s="79"/>
      <c r="F160" s="79"/>
      <c r="G160" s="80">
        <v>9</v>
      </c>
      <c r="H160" s="79" t="s">
        <v>305</v>
      </c>
      <c r="I160" s="80">
        <f t="shared" si="7"/>
        <v>10.44</v>
      </c>
      <c r="J160" s="79">
        <v>1</v>
      </c>
      <c r="K160" s="92" t="str">
        <f t="shared" si="6"/>
        <v>1dose</v>
      </c>
    </row>
    <row r="161" spans="2:11" x14ac:dyDescent="0.25">
      <c r="B161" s="61">
        <v>183</v>
      </c>
      <c r="C161" s="65" t="s">
        <v>455</v>
      </c>
      <c r="D161" s="79">
        <v>5</v>
      </c>
      <c r="E161" s="93" t="s">
        <v>536</v>
      </c>
      <c r="F161" s="79">
        <v>22</v>
      </c>
      <c r="G161" s="80">
        <f>F161/10</f>
        <v>2.2000000000000002</v>
      </c>
      <c r="H161" s="79" t="s">
        <v>456</v>
      </c>
      <c r="I161" s="80">
        <f t="shared" si="7"/>
        <v>2.552</v>
      </c>
      <c r="J161" s="79">
        <v>1</v>
      </c>
      <c r="K161" s="92" t="str">
        <f t="shared" si="6"/>
        <v>1mg</v>
      </c>
    </row>
    <row r="162" spans="2:11" x14ac:dyDescent="0.25">
      <c r="B162" s="61">
        <v>18</v>
      </c>
      <c r="C162" s="65" t="s">
        <v>457</v>
      </c>
      <c r="D162" s="79"/>
      <c r="E162" s="79"/>
      <c r="F162" s="79"/>
      <c r="G162" s="80"/>
      <c r="H162" s="79"/>
      <c r="I162" s="80">
        <f t="shared" si="7"/>
        <v>0</v>
      </c>
      <c r="J162" s="79"/>
      <c r="K162" s="92" t="str">
        <f t="shared" si="6"/>
        <v/>
      </c>
    </row>
    <row r="163" spans="2:11" x14ac:dyDescent="0.25">
      <c r="B163" s="61">
        <v>145</v>
      </c>
      <c r="C163" s="65" t="s">
        <v>458</v>
      </c>
      <c r="D163" s="79"/>
      <c r="E163" s="79"/>
      <c r="F163" s="79"/>
      <c r="G163" s="80">
        <v>1</v>
      </c>
      <c r="H163" s="79" t="s">
        <v>374</v>
      </c>
      <c r="I163" s="80">
        <f t="shared" si="7"/>
        <v>1.1599999999999999</v>
      </c>
      <c r="J163" s="79">
        <v>1</v>
      </c>
      <c r="K163" s="92" t="str">
        <f t="shared" si="6"/>
        <v>1cap</v>
      </c>
    </row>
    <row r="164" spans="2:11" x14ac:dyDescent="0.25">
      <c r="B164" s="61">
        <v>168</v>
      </c>
      <c r="C164" s="65" t="s">
        <v>459</v>
      </c>
      <c r="D164" s="79"/>
      <c r="E164" s="79"/>
      <c r="F164" s="79"/>
      <c r="G164" s="80">
        <v>1.85</v>
      </c>
      <c r="H164" s="79" t="s">
        <v>250</v>
      </c>
      <c r="I164" s="80">
        <f t="shared" si="7"/>
        <v>2.1459999999999999</v>
      </c>
      <c r="J164" s="79">
        <v>1</v>
      </c>
      <c r="K164" s="92" t="str">
        <f t="shared" si="6"/>
        <v>1tab</v>
      </c>
    </row>
    <row r="165" spans="2:11" x14ac:dyDescent="0.25">
      <c r="B165" s="61">
        <v>30</v>
      </c>
      <c r="C165" s="65" t="s">
        <v>13</v>
      </c>
      <c r="D165" s="79"/>
      <c r="E165" s="79"/>
      <c r="F165" s="79"/>
      <c r="G165" s="80">
        <v>0.5</v>
      </c>
      <c r="H165" s="79" t="s">
        <v>313</v>
      </c>
      <c r="I165" s="80">
        <f t="shared" si="7"/>
        <v>0.57999999999999996</v>
      </c>
      <c r="J165" s="79">
        <v>1</v>
      </c>
      <c r="K165" s="92" t="str">
        <f t="shared" si="6"/>
        <v>1ml</v>
      </c>
    </row>
    <row r="166" spans="2:11" x14ac:dyDescent="0.25">
      <c r="B166" s="61">
        <v>9</v>
      </c>
      <c r="C166" s="65" t="s">
        <v>460</v>
      </c>
      <c r="D166" s="79"/>
      <c r="E166" s="93" t="s">
        <v>250</v>
      </c>
      <c r="F166" s="79"/>
      <c r="G166" s="80">
        <v>5</v>
      </c>
      <c r="H166" s="79" t="s">
        <v>250</v>
      </c>
      <c r="I166" s="80">
        <f t="shared" si="7"/>
        <v>5.8</v>
      </c>
      <c r="J166" s="79">
        <v>1</v>
      </c>
      <c r="K166" s="92" t="str">
        <f t="shared" si="6"/>
        <v>1tab</v>
      </c>
    </row>
    <row r="167" spans="2:11" x14ac:dyDescent="0.25">
      <c r="B167" s="61">
        <v>148</v>
      </c>
      <c r="C167" s="65" t="s">
        <v>461</v>
      </c>
      <c r="D167" s="79"/>
      <c r="E167" s="79"/>
      <c r="F167" s="79"/>
      <c r="G167" s="80"/>
      <c r="H167" s="79"/>
      <c r="I167" s="80">
        <f t="shared" si="7"/>
        <v>0</v>
      </c>
      <c r="J167" s="79"/>
      <c r="K167" s="92" t="str">
        <f t="shared" si="6"/>
        <v/>
      </c>
    </row>
    <row r="168" spans="2:11" ht="30" x14ac:dyDescent="0.25">
      <c r="B168" s="61">
        <v>158</v>
      </c>
      <c r="C168" s="94" t="s">
        <v>462</v>
      </c>
      <c r="D168" s="79">
        <v>100</v>
      </c>
      <c r="E168" s="79" t="s">
        <v>313</v>
      </c>
      <c r="F168" s="79">
        <f>D168*G168/5</f>
        <v>41.86</v>
      </c>
      <c r="G168" s="80">
        <f>0.0046*91*5</f>
        <v>2.093</v>
      </c>
      <c r="H168" s="79" t="s">
        <v>313</v>
      </c>
      <c r="I168" s="80">
        <f t="shared" si="7"/>
        <v>2.42788</v>
      </c>
      <c r="J168" s="79">
        <v>5</v>
      </c>
      <c r="K168" s="92" t="str">
        <f t="shared" si="6"/>
        <v>5ml</v>
      </c>
    </row>
    <row r="169" spans="2:11" x14ac:dyDescent="0.25">
      <c r="B169" s="61">
        <v>56</v>
      </c>
      <c r="C169" s="65" t="s">
        <v>463</v>
      </c>
      <c r="D169" s="79"/>
      <c r="E169" s="79"/>
      <c r="F169" s="79"/>
      <c r="G169" s="80">
        <v>1.53</v>
      </c>
      <c r="H169" s="79" t="s">
        <v>250</v>
      </c>
      <c r="I169" s="80">
        <f t="shared" si="7"/>
        <v>1.7747999999999999</v>
      </c>
      <c r="J169" s="79">
        <v>1</v>
      </c>
      <c r="K169" s="92" t="str">
        <f t="shared" si="6"/>
        <v>1tab</v>
      </c>
    </row>
    <row r="170" spans="2:11" x14ac:dyDescent="0.25">
      <c r="C170" s="83" t="s">
        <v>713</v>
      </c>
      <c r="D170" s="79"/>
      <c r="E170" s="79"/>
      <c r="F170" s="79"/>
      <c r="G170" s="80">
        <v>2</v>
      </c>
      <c r="H170" s="79" t="s">
        <v>250</v>
      </c>
      <c r="I170" s="80">
        <f t="shared" ref="I170" si="8">((SUM($G$2:$G$4)*G170)+G170)</f>
        <v>2.3199999999999998</v>
      </c>
      <c r="J170" s="79"/>
      <c r="K170" s="95" t="s">
        <v>535</v>
      </c>
    </row>
    <row r="171" spans="2:11" x14ac:dyDescent="0.25">
      <c r="B171" s="61">
        <v>55</v>
      </c>
      <c r="C171" s="65" t="s">
        <v>464</v>
      </c>
      <c r="D171" s="79">
        <v>120</v>
      </c>
      <c r="E171" s="79" t="s">
        <v>313</v>
      </c>
      <c r="F171" s="79">
        <f>1.95*91</f>
        <v>177.45</v>
      </c>
      <c r="G171" s="80">
        <f>F171/D171*5</f>
        <v>7.3937499999999998</v>
      </c>
      <c r="H171" s="79" t="s">
        <v>313</v>
      </c>
      <c r="I171" s="80">
        <f t="shared" si="7"/>
        <v>8.5767500000000005</v>
      </c>
      <c r="J171" s="79">
        <v>5</v>
      </c>
      <c r="K171" s="92" t="str">
        <f t="shared" si="6"/>
        <v>5ml</v>
      </c>
    </row>
    <row r="172" spans="2:11" x14ac:dyDescent="0.25">
      <c r="C172" s="65" t="s">
        <v>465</v>
      </c>
      <c r="D172" s="79"/>
      <c r="E172" s="79"/>
      <c r="F172" s="79"/>
      <c r="G172" s="80">
        <f>0.0235*91</f>
        <v>2.1385000000000001</v>
      </c>
      <c r="H172" s="79" t="s">
        <v>250</v>
      </c>
      <c r="I172" s="80">
        <f t="shared" si="7"/>
        <v>2.4806600000000003</v>
      </c>
      <c r="J172" s="79">
        <v>1</v>
      </c>
      <c r="K172" s="92" t="str">
        <f t="shared" si="6"/>
        <v>1tab</v>
      </c>
    </row>
    <row r="173" spans="2:11" x14ac:dyDescent="0.25">
      <c r="C173" s="83" t="s">
        <v>526</v>
      </c>
      <c r="D173" s="79"/>
      <c r="E173" s="79"/>
      <c r="F173" s="79"/>
      <c r="G173" s="80">
        <v>0.5</v>
      </c>
      <c r="H173" s="79"/>
      <c r="I173" s="80">
        <f t="shared" si="7"/>
        <v>0.57999999999999996</v>
      </c>
      <c r="J173" s="79"/>
      <c r="K173" s="95" t="s">
        <v>528</v>
      </c>
    </row>
    <row r="174" spans="2:11" x14ac:dyDescent="0.25">
      <c r="C174" s="83" t="s">
        <v>527</v>
      </c>
      <c r="D174" s="79"/>
      <c r="E174" s="79"/>
      <c r="F174" s="79"/>
      <c r="G174" s="80">
        <v>10</v>
      </c>
      <c r="H174" s="79"/>
      <c r="I174" s="80">
        <f t="shared" si="7"/>
        <v>11.6</v>
      </c>
      <c r="J174" s="79"/>
      <c r="K174" s="95" t="s">
        <v>528</v>
      </c>
    </row>
    <row r="175" spans="2:11" x14ac:dyDescent="0.25">
      <c r="C175" s="83" t="s">
        <v>859</v>
      </c>
      <c r="D175" s="79"/>
      <c r="E175" s="79"/>
      <c r="F175" s="79"/>
      <c r="G175" s="80">
        <v>2.8</v>
      </c>
      <c r="H175" s="79"/>
      <c r="I175" s="80">
        <f t="shared" si="7"/>
        <v>3.2479999999999998</v>
      </c>
      <c r="J175" s="79"/>
      <c r="K175" s="95" t="s">
        <v>860</v>
      </c>
    </row>
    <row r="176" spans="2:11" x14ac:dyDescent="0.25">
      <c r="C176" s="83" t="s">
        <v>534</v>
      </c>
      <c r="D176" s="79"/>
      <c r="E176" s="79"/>
      <c r="F176" s="79"/>
      <c r="G176" s="80">
        <v>18</v>
      </c>
      <c r="H176" s="79"/>
      <c r="I176" s="80">
        <f t="shared" si="7"/>
        <v>20.88</v>
      </c>
      <c r="J176" s="79"/>
      <c r="K176" s="95" t="s">
        <v>535</v>
      </c>
    </row>
    <row r="177" spans="3:11" x14ac:dyDescent="0.25">
      <c r="C177" s="164"/>
      <c r="D177" s="164"/>
      <c r="E177" s="164"/>
      <c r="F177" s="164"/>
      <c r="G177" s="164"/>
      <c r="H177" s="164"/>
      <c r="I177" s="164"/>
      <c r="J177" s="164"/>
      <c r="K177" s="164"/>
    </row>
    <row r="181" spans="3:11" x14ac:dyDescent="0.25">
      <c r="C181" s="96" t="s">
        <v>10</v>
      </c>
    </row>
  </sheetData>
  <sheetProtection algorithmName="SHA-512" hashValue="r3BPpXtCzMxUJvkSVzUNBZo5xn0M8ewgY/iH37rg6uRe7ALz/R65W0dTl1XimTYZMfb3bbMxyYz9P7cQ3ENEpw==" saltValue="StNYxEEqv3KK+yx2zQWWlw==" spinCount="100000" sheet="1" objects="1" scenarios="1"/>
  <mergeCells count="9">
    <mergeCell ref="C6:K6"/>
    <mergeCell ref="F7:I7"/>
    <mergeCell ref="D4:F4"/>
    <mergeCell ref="D2:F2"/>
    <mergeCell ref="C2:C4"/>
    <mergeCell ref="D3:F3"/>
    <mergeCell ref="D7:E7"/>
    <mergeCell ref="C7:C8"/>
    <mergeCell ref="K7:K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65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0" style="61" hidden="1" customWidth="1"/>
    <col min="3" max="3" width="66.85546875" style="61" customWidth="1"/>
    <col min="4" max="4" width="7.7109375" style="61" customWidth="1"/>
    <col min="5" max="5" width="8.5703125" style="61" bestFit="1" customWidth="1"/>
    <col min="6" max="6" width="8.85546875" style="61" customWidth="1"/>
    <col min="7" max="7" width="8.5703125" style="61" customWidth="1"/>
    <col min="8" max="16384" width="9.140625" style="61"/>
  </cols>
  <sheetData>
    <row r="2" spans="2:7" x14ac:dyDescent="0.25">
      <c r="C2" s="234" t="s">
        <v>512</v>
      </c>
      <c r="D2" s="239" t="s">
        <v>513</v>
      </c>
      <c r="E2" s="240"/>
      <c r="F2" s="241"/>
      <c r="G2" s="59">
        <v>0.05</v>
      </c>
    </row>
    <row r="3" spans="2:7" x14ac:dyDescent="0.25">
      <c r="C3" s="236"/>
      <c r="D3" s="239" t="s">
        <v>514</v>
      </c>
      <c r="E3" s="240"/>
      <c r="F3" s="241"/>
      <c r="G3" s="59">
        <v>0.05</v>
      </c>
    </row>
    <row r="5" spans="2:7" ht="15.75" x14ac:dyDescent="0.25">
      <c r="C5" s="202" t="s">
        <v>515</v>
      </c>
      <c r="D5" s="202"/>
      <c r="E5" s="202"/>
      <c r="F5" s="202"/>
      <c r="G5" s="202"/>
    </row>
    <row r="6" spans="2:7" x14ac:dyDescent="0.25">
      <c r="C6" s="237" t="s">
        <v>0</v>
      </c>
      <c r="D6" s="219" t="s">
        <v>471</v>
      </c>
      <c r="E6" s="220"/>
      <c r="F6" s="219" t="s">
        <v>472</v>
      </c>
      <c r="G6" s="220"/>
    </row>
    <row r="7" spans="2:7" ht="30" x14ac:dyDescent="0.25">
      <c r="C7" s="238"/>
      <c r="D7" s="164" t="s">
        <v>473</v>
      </c>
      <c r="E7" s="164" t="s">
        <v>474</v>
      </c>
      <c r="F7" s="182" t="s">
        <v>474</v>
      </c>
      <c r="G7" s="182" t="s">
        <v>516</v>
      </c>
    </row>
    <row r="8" spans="2:7" x14ac:dyDescent="0.25">
      <c r="B8" s="61">
        <v>1</v>
      </c>
      <c r="C8" s="65" t="s">
        <v>149</v>
      </c>
      <c r="D8" s="65">
        <v>209</v>
      </c>
      <c r="E8" s="65" t="s">
        <v>424</v>
      </c>
      <c r="F8" s="65">
        <v>3</v>
      </c>
      <c r="G8" s="65">
        <f t="shared" ref="G8:G39" si="0">(SUM($G$2:$G$3)*F8)+F8</f>
        <v>3.3</v>
      </c>
    </row>
    <row r="9" spans="2:7" x14ac:dyDescent="0.25">
      <c r="B9" s="61">
        <v>15</v>
      </c>
      <c r="C9" s="65" t="s">
        <v>475</v>
      </c>
      <c r="D9" s="65">
        <v>50</v>
      </c>
      <c r="E9" s="65" t="s">
        <v>424</v>
      </c>
      <c r="F9" s="65">
        <v>5</v>
      </c>
      <c r="G9" s="65">
        <f t="shared" si="0"/>
        <v>5.5</v>
      </c>
    </row>
    <row r="10" spans="2:7" x14ac:dyDescent="0.25">
      <c r="B10" s="61">
        <v>14</v>
      </c>
      <c r="C10" s="65" t="s">
        <v>476</v>
      </c>
      <c r="D10" s="65">
        <v>17</v>
      </c>
      <c r="E10" s="65" t="s">
        <v>477</v>
      </c>
      <c r="F10" s="65">
        <v>17</v>
      </c>
      <c r="G10" s="65">
        <f t="shared" si="0"/>
        <v>18.7</v>
      </c>
    </row>
    <row r="11" spans="2:7" x14ac:dyDescent="0.25">
      <c r="B11" s="61">
        <v>31</v>
      </c>
      <c r="C11" s="83" t="s">
        <v>517</v>
      </c>
      <c r="D11" s="65">
        <v>530</v>
      </c>
      <c r="E11" s="65" t="s">
        <v>499</v>
      </c>
      <c r="F11" s="97">
        <f>D11/12</f>
        <v>44.166666666666664</v>
      </c>
      <c r="G11" s="65">
        <f t="shared" si="0"/>
        <v>48.583333333333329</v>
      </c>
    </row>
    <row r="12" spans="2:7" x14ac:dyDescent="0.25">
      <c r="B12" s="61">
        <v>5</v>
      </c>
      <c r="C12" s="65" t="s">
        <v>150</v>
      </c>
      <c r="D12" s="65">
        <v>35</v>
      </c>
      <c r="E12" s="65" t="s">
        <v>478</v>
      </c>
      <c r="F12" s="65">
        <v>35</v>
      </c>
      <c r="G12" s="65">
        <f t="shared" si="0"/>
        <v>38.5</v>
      </c>
    </row>
    <row r="13" spans="2:7" x14ac:dyDescent="0.25">
      <c r="B13" s="61">
        <v>18</v>
      </c>
      <c r="C13" s="65" t="s">
        <v>152</v>
      </c>
      <c r="D13" s="65"/>
      <c r="E13" s="65"/>
      <c r="F13" s="65"/>
      <c r="G13" s="65">
        <f t="shared" si="0"/>
        <v>0</v>
      </c>
    </row>
    <row r="14" spans="2:7" x14ac:dyDescent="0.25">
      <c r="B14" s="61">
        <v>32</v>
      </c>
      <c r="C14" s="65" t="s">
        <v>153</v>
      </c>
      <c r="D14" s="65"/>
      <c r="E14" s="65"/>
      <c r="F14" s="65"/>
      <c r="G14" s="65">
        <f t="shared" si="0"/>
        <v>0</v>
      </c>
    </row>
    <row r="15" spans="2:7" x14ac:dyDescent="0.25">
      <c r="B15" s="61">
        <v>25</v>
      </c>
      <c r="C15" s="65" t="s">
        <v>479</v>
      </c>
      <c r="D15" s="65"/>
      <c r="E15" s="65"/>
      <c r="F15" s="65"/>
      <c r="G15" s="65">
        <f t="shared" si="0"/>
        <v>0</v>
      </c>
    </row>
    <row r="16" spans="2:7" x14ac:dyDescent="0.25">
      <c r="B16" s="61">
        <v>21</v>
      </c>
      <c r="C16" s="65" t="s">
        <v>480</v>
      </c>
      <c r="D16" s="65">
        <v>55</v>
      </c>
      <c r="E16" s="65" t="s">
        <v>481</v>
      </c>
      <c r="F16" s="65">
        <v>55</v>
      </c>
      <c r="G16" s="65">
        <f t="shared" si="0"/>
        <v>60.5</v>
      </c>
    </row>
    <row r="17" spans="2:7" x14ac:dyDescent="0.25">
      <c r="B17" s="61">
        <v>22</v>
      </c>
      <c r="C17" s="65" t="s">
        <v>482</v>
      </c>
      <c r="D17" s="65">
        <v>11</v>
      </c>
      <c r="E17" s="65" t="s">
        <v>481</v>
      </c>
      <c r="F17" s="65">
        <v>11</v>
      </c>
      <c r="G17" s="65">
        <f t="shared" si="0"/>
        <v>12.1</v>
      </c>
    </row>
    <row r="18" spans="2:7" x14ac:dyDescent="0.25">
      <c r="B18" s="61">
        <v>23</v>
      </c>
      <c r="C18" s="65" t="s">
        <v>483</v>
      </c>
      <c r="D18" s="65">
        <v>15</v>
      </c>
      <c r="E18" s="65" t="s">
        <v>481</v>
      </c>
      <c r="F18" s="65">
        <v>15</v>
      </c>
      <c r="G18" s="65">
        <f t="shared" si="0"/>
        <v>16.5</v>
      </c>
    </row>
    <row r="19" spans="2:7" x14ac:dyDescent="0.25">
      <c r="B19" s="61">
        <v>24</v>
      </c>
      <c r="C19" s="65" t="s">
        <v>484</v>
      </c>
      <c r="D19" s="65"/>
      <c r="E19" s="65"/>
      <c r="F19" s="65"/>
      <c r="G19" s="65">
        <f t="shared" si="0"/>
        <v>0</v>
      </c>
    </row>
    <row r="20" spans="2:7" x14ac:dyDescent="0.25">
      <c r="B20" s="61">
        <v>10</v>
      </c>
      <c r="C20" s="65" t="s">
        <v>485</v>
      </c>
      <c r="D20" s="65"/>
      <c r="E20" s="65"/>
      <c r="F20" s="65"/>
      <c r="G20" s="65">
        <f t="shared" si="0"/>
        <v>0</v>
      </c>
    </row>
    <row r="21" spans="2:7" x14ac:dyDescent="0.25">
      <c r="B21" s="61">
        <v>9</v>
      </c>
      <c r="C21" s="65" t="s">
        <v>486</v>
      </c>
      <c r="D21" s="65">
        <f>F21*20</f>
        <v>60</v>
      </c>
      <c r="E21" s="65" t="s">
        <v>424</v>
      </c>
      <c r="F21" s="65">
        <v>3</v>
      </c>
      <c r="G21" s="65">
        <f t="shared" si="0"/>
        <v>3.3</v>
      </c>
    </row>
    <row r="22" spans="2:7" x14ac:dyDescent="0.25">
      <c r="B22" s="61">
        <v>11</v>
      </c>
      <c r="C22" s="65" t="s">
        <v>151</v>
      </c>
      <c r="D22" s="65">
        <v>14</v>
      </c>
      <c r="E22" s="65" t="s">
        <v>487</v>
      </c>
      <c r="F22" s="65">
        <v>14</v>
      </c>
      <c r="G22" s="65">
        <f t="shared" si="0"/>
        <v>15.4</v>
      </c>
    </row>
    <row r="23" spans="2:7" x14ac:dyDescent="0.25">
      <c r="B23" s="61">
        <v>63</v>
      </c>
      <c r="C23" s="65" t="s">
        <v>488</v>
      </c>
      <c r="D23" s="65">
        <v>402</v>
      </c>
      <c r="E23" s="65" t="s">
        <v>489</v>
      </c>
      <c r="F23" s="65">
        <f>D23/100</f>
        <v>4.0199999999999996</v>
      </c>
      <c r="G23" s="65">
        <f t="shared" si="0"/>
        <v>4.4219999999999997</v>
      </c>
    </row>
    <row r="24" spans="2:7" x14ac:dyDescent="0.25">
      <c r="B24" s="61">
        <v>46</v>
      </c>
      <c r="C24" s="65" t="s">
        <v>156</v>
      </c>
      <c r="D24" s="65">
        <v>38.5</v>
      </c>
      <c r="E24" s="65" t="s">
        <v>490</v>
      </c>
      <c r="F24" s="65">
        <v>38.5</v>
      </c>
      <c r="G24" s="65">
        <f t="shared" si="0"/>
        <v>42.35</v>
      </c>
    </row>
    <row r="25" spans="2:7" x14ac:dyDescent="0.25">
      <c r="B25" s="61">
        <v>51</v>
      </c>
      <c r="C25" s="65" t="s">
        <v>157</v>
      </c>
      <c r="D25" s="65">
        <v>39.75</v>
      </c>
      <c r="E25" s="65" t="s">
        <v>490</v>
      </c>
      <c r="F25" s="65">
        <v>39.75</v>
      </c>
      <c r="G25" s="65">
        <f t="shared" si="0"/>
        <v>43.725000000000001</v>
      </c>
    </row>
    <row r="26" spans="2:7" x14ac:dyDescent="0.25">
      <c r="B26" s="61">
        <v>56</v>
      </c>
      <c r="C26" s="65" t="s">
        <v>158</v>
      </c>
      <c r="D26" s="65">
        <v>55</v>
      </c>
      <c r="E26" s="65" t="s">
        <v>490</v>
      </c>
      <c r="F26" s="65">
        <v>55</v>
      </c>
      <c r="G26" s="65">
        <f t="shared" si="0"/>
        <v>60.5</v>
      </c>
    </row>
    <row r="27" spans="2:7" x14ac:dyDescent="0.25">
      <c r="B27" s="61">
        <v>41</v>
      </c>
      <c r="C27" s="65" t="s">
        <v>491</v>
      </c>
      <c r="D27" s="65">
        <v>106</v>
      </c>
      <c r="E27" s="65" t="s">
        <v>489</v>
      </c>
      <c r="F27" s="65">
        <f t="shared" ref="F27:F32" si="1">D27/100</f>
        <v>1.06</v>
      </c>
      <c r="G27" s="65">
        <f t="shared" si="0"/>
        <v>1.1660000000000001</v>
      </c>
    </row>
    <row r="28" spans="2:7" x14ac:dyDescent="0.25">
      <c r="B28" s="61">
        <v>42</v>
      </c>
      <c r="C28" s="65" t="s">
        <v>492</v>
      </c>
      <c r="D28" s="65">
        <v>100</v>
      </c>
      <c r="E28" s="65" t="s">
        <v>489</v>
      </c>
      <c r="F28" s="65">
        <f t="shared" si="1"/>
        <v>1</v>
      </c>
      <c r="G28" s="65">
        <f t="shared" si="0"/>
        <v>1.1000000000000001</v>
      </c>
    </row>
    <row r="29" spans="2:7" x14ac:dyDescent="0.25">
      <c r="B29" s="61">
        <v>43</v>
      </c>
      <c r="C29" s="65" t="s">
        <v>493</v>
      </c>
      <c r="D29" s="65">
        <v>131</v>
      </c>
      <c r="E29" s="65" t="s">
        <v>489</v>
      </c>
      <c r="F29" s="65">
        <f t="shared" si="1"/>
        <v>1.31</v>
      </c>
      <c r="G29" s="65">
        <f t="shared" si="0"/>
        <v>1.4410000000000001</v>
      </c>
    </row>
    <row r="30" spans="2:7" x14ac:dyDescent="0.25">
      <c r="B30" s="61">
        <v>44</v>
      </c>
      <c r="C30" s="65" t="s">
        <v>494</v>
      </c>
      <c r="D30" s="65">
        <v>101</v>
      </c>
      <c r="E30" s="65" t="s">
        <v>489</v>
      </c>
      <c r="F30" s="65">
        <f t="shared" si="1"/>
        <v>1.01</v>
      </c>
      <c r="G30" s="65">
        <f t="shared" si="0"/>
        <v>1.111</v>
      </c>
    </row>
    <row r="31" spans="2:7" x14ac:dyDescent="0.25">
      <c r="B31" s="61">
        <v>45</v>
      </c>
      <c r="C31" s="65" t="s">
        <v>495</v>
      </c>
      <c r="D31" s="65">
        <v>97</v>
      </c>
      <c r="E31" s="65" t="s">
        <v>489</v>
      </c>
      <c r="F31" s="65">
        <f t="shared" si="1"/>
        <v>0.97</v>
      </c>
      <c r="G31" s="65">
        <f t="shared" si="0"/>
        <v>1.0669999999999999</v>
      </c>
    </row>
    <row r="32" spans="2:7" x14ac:dyDescent="0.25">
      <c r="B32" s="61">
        <v>40</v>
      </c>
      <c r="C32" s="65" t="s">
        <v>496</v>
      </c>
      <c r="D32" s="65">
        <v>100</v>
      </c>
      <c r="E32" s="65" t="s">
        <v>489</v>
      </c>
      <c r="F32" s="65">
        <f t="shared" si="1"/>
        <v>1</v>
      </c>
      <c r="G32" s="65">
        <f t="shared" si="0"/>
        <v>1.1000000000000001</v>
      </c>
    </row>
    <row r="33" spans="2:7" x14ac:dyDescent="0.25">
      <c r="B33" s="61">
        <v>61</v>
      </c>
      <c r="C33" s="65" t="s">
        <v>497</v>
      </c>
      <c r="D33" s="65">
        <f>4.72*50</f>
        <v>236</v>
      </c>
      <c r="E33" s="65" t="s">
        <v>489</v>
      </c>
      <c r="F33" s="65">
        <f>D33/50</f>
        <v>4.72</v>
      </c>
      <c r="G33" s="65">
        <f t="shared" si="0"/>
        <v>5.1920000000000002</v>
      </c>
    </row>
    <row r="34" spans="2:7" x14ac:dyDescent="0.25">
      <c r="B34" s="61">
        <v>69</v>
      </c>
      <c r="C34" s="65" t="s">
        <v>498</v>
      </c>
      <c r="D34" s="65"/>
      <c r="E34" s="65"/>
      <c r="F34" s="65"/>
      <c r="G34" s="65">
        <f t="shared" si="0"/>
        <v>0</v>
      </c>
    </row>
    <row r="35" spans="2:7" x14ac:dyDescent="0.25">
      <c r="B35" s="61">
        <v>33</v>
      </c>
      <c r="C35" s="65" t="s">
        <v>154</v>
      </c>
      <c r="D35" s="65">
        <v>320</v>
      </c>
      <c r="E35" s="65" t="s">
        <v>499</v>
      </c>
      <c r="F35" s="65">
        <f>D35/12</f>
        <v>26.666666666666668</v>
      </c>
      <c r="G35" s="65">
        <f t="shared" si="0"/>
        <v>29.333333333333336</v>
      </c>
    </row>
    <row r="36" spans="2:7" x14ac:dyDescent="0.25">
      <c r="B36" s="61">
        <v>27</v>
      </c>
      <c r="C36" s="65" t="s">
        <v>500</v>
      </c>
      <c r="D36" s="65">
        <v>12</v>
      </c>
      <c r="E36" s="65"/>
      <c r="F36" s="65">
        <v>12</v>
      </c>
      <c r="G36" s="65">
        <f t="shared" si="0"/>
        <v>13.2</v>
      </c>
    </row>
    <row r="37" spans="2:7" x14ac:dyDescent="0.25">
      <c r="B37" s="61">
        <v>28</v>
      </c>
      <c r="C37" s="65" t="s">
        <v>501</v>
      </c>
      <c r="D37" s="65">
        <v>12</v>
      </c>
      <c r="E37" s="65"/>
      <c r="F37" s="65">
        <v>12</v>
      </c>
      <c r="G37" s="65">
        <f t="shared" si="0"/>
        <v>13.2</v>
      </c>
    </row>
    <row r="38" spans="2:7" x14ac:dyDescent="0.25">
      <c r="B38" s="61">
        <v>29</v>
      </c>
      <c r="C38" s="65" t="s">
        <v>502</v>
      </c>
      <c r="D38" s="65">
        <v>12</v>
      </c>
      <c r="E38" s="65"/>
      <c r="F38" s="65">
        <v>12</v>
      </c>
      <c r="G38" s="65">
        <f t="shared" si="0"/>
        <v>13.2</v>
      </c>
    </row>
    <row r="39" spans="2:7" x14ac:dyDescent="0.25">
      <c r="B39" s="61">
        <v>26</v>
      </c>
      <c r="C39" s="65" t="s">
        <v>503</v>
      </c>
      <c r="D39" s="65">
        <v>11</v>
      </c>
      <c r="E39" s="65"/>
      <c r="F39" s="65">
        <v>11</v>
      </c>
      <c r="G39" s="65">
        <f t="shared" si="0"/>
        <v>12.1</v>
      </c>
    </row>
    <row r="40" spans="2:7" x14ac:dyDescent="0.25">
      <c r="B40" s="61">
        <v>36</v>
      </c>
      <c r="C40" s="65" t="s">
        <v>504</v>
      </c>
      <c r="D40" s="65">
        <v>400</v>
      </c>
      <c r="E40" s="65" t="s">
        <v>489</v>
      </c>
      <c r="F40" s="65">
        <f>D40/100</f>
        <v>4</v>
      </c>
      <c r="G40" s="65">
        <f t="shared" ref="G40:G64" si="2">(SUM($G$2:$G$3)*F40)+F40</f>
        <v>4.4000000000000004</v>
      </c>
    </row>
    <row r="41" spans="2:7" x14ac:dyDescent="0.25">
      <c r="B41" s="61">
        <v>39</v>
      </c>
      <c r="C41" s="83" t="s">
        <v>508</v>
      </c>
      <c r="D41" s="65"/>
      <c r="E41" s="65"/>
      <c r="F41" s="65"/>
      <c r="G41" s="65">
        <f t="shared" si="2"/>
        <v>0</v>
      </c>
    </row>
    <row r="42" spans="2:7" x14ac:dyDescent="0.25">
      <c r="B42" s="61">
        <v>38</v>
      </c>
      <c r="C42" s="83" t="s">
        <v>507</v>
      </c>
      <c r="D42" s="65"/>
      <c r="E42" s="65"/>
      <c r="F42" s="65"/>
      <c r="G42" s="65">
        <f t="shared" si="2"/>
        <v>0</v>
      </c>
    </row>
    <row r="43" spans="2:7" x14ac:dyDescent="0.25">
      <c r="B43" s="61">
        <v>37</v>
      </c>
      <c r="C43" s="83" t="s">
        <v>712</v>
      </c>
      <c r="D43" s="65">
        <v>318</v>
      </c>
      <c r="E43" s="65" t="s">
        <v>489</v>
      </c>
      <c r="F43" s="65">
        <v>3.18</v>
      </c>
      <c r="G43" s="65">
        <f t="shared" si="2"/>
        <v>3.4980000000000002</v>
      </c>
    </row>
    <row r="44" spans="2:7" x14ac:dyDescent="0.25">
      <c r="B44" s="61">
        <v>67</v>
      </c>
      <c r="C44" s="65" t="s">
        <v>505</v>
      </c>
      <c r="D44" s="65">
        <v>30.2</v>
      </c>
      <c r="E44" s="65" t="s">
        <v>478</v>
      </c>
      <c r="F44" s="65">
        <v>5</v>
      </c>
      <c r="G44" s="65">
        <f t="shared" si="2"/>
        <v>5.5</v>
      </c>
    </row>
    <row r="45" spans="2:7" x14ac:dyDescent="0.25">
      <c r="B45" s="61">
        <v>77</v>
      </c>
      <c r="C45" s="65" t="s">
        <v>506</v>
      </c>
      <c r="D45" s="65">
        <v>245</v>
      </c>
      <c r="E45" s="65" t="s">
        <v>489</v>
      </c>
      <c r="F45" s="65">
        <f>D45/500</f>
        <v>0.49</v>
      </c>
      <c r="G45" s="65">
        <f t="shared" si="2"/>
        <v>0.53900000000000003</v>
      </c>
    </row>
    <row r="46" spans="2:7" x14ac:dyDescent="0.25">
      <c r="C46" s="65" t="s">
        <v>155</v>
      </c>
      <c r="D46" s="65">
        <v>1690</v>
      </c>
      <c r="E46" s="65" t="s">
        <v>499</v>
      </c>
      <c r="F46" s="65">
        <f>D46/12</f>
        <v>140.83333333333334</v>
      </c>
      <c r="G46" s="65">
        <f t="shared" si="2"/>
        <v>154.91666666666669</v>
      </c>
    </row>
    <row r="47" spans="2:7" x14ac:dyDescent="0.25">
      <c r="C47" s="83" t="s">
        <v>306</v>
      </c>
      <c r="D47" s="65"/>
      <c r="E47" s="65"/>
      <c r="F47" s="65">
        <v>4</v>
      </c>
      <c r="G47" s="65">
        <f t="shared" si="2"/>
        <v>4.4000000000000004</v>
      </c>
    </row>
    <row r="48" spans="2:7" x14ac:dyDescent="0.25">
      <c r="C48" s="83" t="s">
        <v>519</v>
      </c>
      <c r="D48" s="65"/>
      <c r="E48" s="83"/>
      <c r="F48" s="97">
        <v>50</v>
      </c>
      <c r="G48" s="65">
        <f t="shared" si="2"/>
        <v>55</v>
      </c>
    </row>
    <row r="49" spans="2:7" x14ac:dyDescent="0.25">
      <c r="C49" s="83" t="s">
        <v>525</v>
      </c>
      <c r="D49" s="65"/>
      <c r="E49" s="65"/>
      <c r="F49" s="65">
        <v>4.5</v>
      </c>
      <c r="G49" s="65">
        <f t="shared" si="2"/>
        <v>4.95</v>
      </c>
    </row>
    <row r="50" spans="2:7" x14ac:dyDescent="0.25">
      <c r="C50" s="65"/>
      <c r="D50" s="65"/>
      <c r="E50" s="65"/>
      <c r="F50" s="65"/>
      <c r="G50" s="65">
        <f t="shared" si="2"/>
        <v>0</v>
      </c>
    </row>
    <row r="51" spans="2:7" x14ac:dyDescent="0.25">
      <c r="C51" s="65"/>
      <c r="D51" s="65"/>
      <c r="E51" s="65"/>
      <c r="F51" s="65"/>
      <c r="G51" s="65">
        <f t="shared" si="2"/>
        <v>0</v>
      </c>
    </row>
    <row r="52" spans="2:7" x14ac:dyDescent="0.25">
      <c r="C52" s="65"/>
      <c r="D52" s="65"/>
      <c r="E52" s="65"/>
      <c r="F52" s="65"/>
      <c r="G52" s="65">
        <f t="shared" si="2"/>
        <v>0</v>
      </c>
    </row>
    <row r="53" spans="2:7" x14ac:dyDescent="0.25">
      <c r="C53" s="65"/>
      <c r="D53" s="65"/>
      <c r="E53" s="65"/>
      <c r="F53" s="65"/>
      <c r="G53" s="65">
        <f t="shared" si="2"/>
        <v>0</v>
      </c>
    </row>
    <row r="54" spans="2:7" x14ac:dyDescent="0.25">
      <c r="C54" s="65"/>
      <c r="D54" s="65"/>
      <c r="E54" s="65"/>
      <c r="F54" s="65"/>
      <c r="G54" s="65">
        <f t="shared" si="2"/>
        <v>0</v>
      </c>
    </row>
    <row r="55" spans="2:7" x14ac:dyDescent="0.25">
      <c r="C55" s="65"/>
      <c r="D55" s="65"/>
      <c r="E55" s="65"/>
      <c r="F55" s="65"/>
      <c r="G55" s="65">
        <f t="shared" si="2"/>
        <v>0</v>
      </c>
    </row>
    <row r="56" spans="2:7" x14ac:dyDescent="0.25">
      <c r="C56" s="65"/>
      <c r="D56" s="65"/>
      <c r="E56" s="65"/>
      <c r="F56" s="65"/>
      <c r="G56" s="65">
        <f t="shared" si="2"/>
        <v>0</v>
      </c>
    </row>
    <row r="57" spans="2:7" x14ac:dyDescent="0.25">
      <c r="C57" s="65"/>
      <c r="D57" s="65"/>
      <c r="E57" s="65"/>
      <c r="F57" s="65"/>
      <c r="G57" s="65">
        <f t="shared" si="2"/>
        <v>0</v>
      </c>
    </row>
    <row r="58" spans="2:7" x14ac:dyDescent="0.25">
      <c r="C58" s="65"/>
      <c r="D58" s="65"/>
      <c r="E58" s="65"/>
      <c r="F58" s="65"/>
      <c r="G58" s="65">
        <f t="shared" si="2"/>
        <v>0</v>
      </c>
    </row>
    <row r="59" spans="2:7" x14ac:dyDescent="0.25">
      <c r="C59" s="65"/>
      <c r="D59" s="65"/>
      <c r="E59" s="65"/>
      <c r="F59" s="65"/>
      <c r="G59" s="65">
        <f t="shared" si="2"/>
        <v>0</v>
      </c>
    </row>
    <row r="60" spans="2:7" x14ac:dyDescent="0.25">
      <c r="C60" s="65"/>
      <c r="D60" s="65"/>
      <c r="E60" s="65"/>
      <c r="F60" s="65"/>
      <c r="G60" s="65">
        <f t="shared" si="2"/>
        <v>0</v>
      </c>
    </row>
    <row r="61" spans="2:7" x14ac:dyDescent="0.25">
      <c r="C61" s="65"/>
      <c r="D61" s="65"/>
      <c r="E61" s="65"/>
      <c r="F61" s="65"/>
      <c r="G61" s="65">
        <f t="shared" si="2"/>
        <v>0</v>
      </c>
    </row>
    <row r="62" spans="2:7" x14ac:dyDescent="0.25">
      <c r="C62" s="65"/>
      <c r="D62" s="65"/>
      <c r="E62" s="65"/>
      <c r="F62" s="65"/>
      <c r="G62" s="65">
        <f t="shared" si="2"/>
        <v>0</v>
      </c>
    </row>
    <row r="63" spans="2:7" x14ac:dyDescent="0.25">
      <c r="C63" s="65"/>
      <c r="D63" s="65"/>
      <c r="E63" s="65"/>
      <c r="F63" s="65"/>
      <c r="G63" s="65">
        <f t="shared" si="2"/>
        <v>0</v>
      </c>
    </row>
    <row r="64" spans="2:7" x14ac:dyDescent="0.25">
      <c r="B64" s="61">
        <v>34</v>
      </c>
      <c r="C64" s="65"/>
      <c r="D64" s="65"/>
      <c r="E64" s="65"/>
      <c r="F64" s="65"/>
      <c r="G64" s="65">
        <f t="shared" si="2"/>
        <v>0</v>
      </c>
    </row>
    <row r="65" spans="3:7" x14ac:dyDescent="0.25">
      <c r="C65" s="164"/>
      <c r="D65" s="164"/>
      <c r="E65" s="164"/>
      <c r="F65" s="164"/>
      <c r="G65" s="164"/>
    </row>
  </sheetData>
  <sheetProtection algorithmName="SHA-512" hashValue="CPaFBhbdd2OBN5dPrq/U+hW3iHmCzHJh7MDU9rFjiQ93pQFMNQsajB3QBAczMU21Ave8HJHBWNaDKkw/Cv3UeQ==" saltValue="o9cXvbTEbLapSXPYEJBsAw==" spinCount="100000" sheet="1" objects="1" scenarios="1"/>
  <mergeCells count="7">
    <mergeCell ref="C5:G5"/>
    <mergeCell ref="F6:G6"/>
    <mergeCell ref="C2:C3"/>
    <mergeCell ref="D2:F2"/>
    <mergeCell ref="D3:F3"/>
    <mergeCell ref="C6:C7"/>
    <mergeCell ref="D6:E6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8"/>
  <sheetViews>
    <sheetView showGridLines="0" workbookViewId="0">
      <selection activeCell="N13" sqref="N13"/>
    </sheetView>
  </sheetViews>
  <sheetFormatPr defaultRowHeight="15" x14ac:dyDescent="0.25"/>
  <cols>
    <col min="1" max="1" width="9.140625" style="61"/>
    <col min="2" max="2" width="0" style="61" hidden="1" customWidth="1"/>
    <col min="3" max="3" width="44.7109375" style="61" hidden="1" customWidth="1"/>
    <col min="4" max="7" width="0" style="61" hidden="1" customWidth="1"/>
    <col min="8" max="8" width="43.28515625" style="61" bestFit="1" customWidth="1"/>
    <col min="9" max="9" width="12.85546875" style="61" customWidth="1"/>
    <col min="10" max="16384" width="9.140625" style="61"/>
  </cols>
  <sheetData>
    <row r="3" spans="2:9" x14ac:dyDescent="0.25">
      <c r="B3" s="98" t="s">
        <v>19</v>
      </c>
      <c r="C3" s="99" t="s">
        <v>164</v>
      </c>
      <c r="D3" s="61" t="s">
        <v>165</v>
      </c>
      <c r="E3" s="61" t="s">
        <v>166</v>
      </c>
      <c r="F3" s="99" t="s">
        <v>167</v>
      </c>
    </row>
    <row r="4" spans="2:9" ht="15.75" x14ac:dyDescent="0.25">
      <c r="B4" s="100">
        <v>1</v>
      </c>
      <c r="C4" s="101" t="s">
        <v>168</v>
      </c>
      <c r="H4" s="202" t="s">
        <v>592</v>
      </c>
      <c r="I4" s="202"/>
    </row>
    <row r="5" spans="2:9" x14ac:dyDescent="0.25">
      <c r="B5" s="102" t="s">
        <v>169</v>
      </c>
      <c r="C5" s="103" t="s">
        <v>170</v>
      </c>
      <c r="H5" s="166" t="s">
        <v>591</v>
      </c>
      <c r="I5" s="164" t="s">
        <v>468</v>
      </c>
    </row>
    <row r="6" spans="2:9" x14ac:dyDescent="0.25">
      <c r="B6" s="104" t="s">
        <v>171</v>
      </c>
      <c r="C6" s="105" t="s">
        <v>172</v>
      </c>
      <c r="D6" s="61" t="s">
        <v>173</v>
      </c>
      <c r="E6" s="61" t="s">
        <v>173</v>
      </c>
      <c r="F6" s="84">
        <v>5</v>
      </c>
      <c r="G6" s="61">
        <v>1</v>
      </c>
      <c r="H6" s="65" t="str">
        <f t="shared" ref="H6:H17" si="0">C6</f>
        <v>Hemoglobin</v>
      </c>
      <c r="I6" s="65">
        <f>F6</f>
        <v>5</v>
      </c>
    </row>
    <row r="7" spans="2:9" x14ac:dyDescent="0.25">
      <c r="B7" s="104" t="s">
        <v>174</v>
      </c>
      <c r="C7" s="105" t="s">
        <v>175</v>
      </c>
      <c r="D7" s="61" t="s">
        <v>173</v>
      </c>
      <c r="E7" s="61" t="s">
        <v>173</v>
      </c>
      <c r="F7" s="84">
        <v>1.5</v>
      </c>
      <c r="G7" s="61">
        <v>2</v>
      </c>
      <c r="H7" s="65" t="str">
        <f t="shared" si="0"/>
        <v>Red and white blood cell count</v>
      </c>
      <c r="I7" s="65">
        <f>F7</f>
        <v>1.5</v>
      </c>
    </row>
    <row r="8" spans="2:9" x14ac:dyDescent="0.25">
      <c r="B8" s="104" t="s">
        <v>176</v>
      </c>
      <c r="C8" s="105" t="s">
        <v>177</v>
      </c>
      <c r="D8" s="61" t="s">
        <v>173</v>
      </c>
      <c r="E8" s="61" t="s">
        <v>173</v>
      </c>
      <c r="F8" s="84">
        <v>4</v>
      </c>
      <c r="G8" s="61">
        <v>3</v>
      </c>
      <c r="H8" s="65" t="str">
        <f t="shared" si="0"/>
        <v>Differential cell count</v>
      </c>
      <c r="I8" s="65">
        <f>F8</f>
        <v>4</v>
      </c>
    </row>
    <row r="9" spans="2:9" x14ac:dyDescent="0.25">
      <c r="B9" s="104" t="s">
        <v>178</v>
      </c>
      <c r="C9" s="105" t="s">
        <v>179</v>
      </c>
      <c r="E9" s="61" t="s">
        <v>173</v>
      </c>
      <c r="F9" s="84">
        <v>0</v>
      </c>
      <c r="G9" s="61">
        <v>4</v>
      </c>
      <c r="H9" s="65" t="str">
        <f t="shared" si="0"/>
        <v>ESR</v>
      </c>
      <c r="I9" s="65">
        <v>5</v>
      </c>
    </row>
    <row r="10" spans="2:9" x14ac:dyDescent="0.25">
      <c r="B10" s="104" t="s">
        <v>180</v>
      </c>
      <c r="C10" s="105" t="s">
        <v>181</v>
      </c>
      <c r="E10" s="61" t="s">
        <v>173</v>
      </c>
      <c r="G10" s="61">
        <v>5</v>
      </c>
      <c r="H10" s="65" t="str">
        <f t="shared" si="0"/>
        <v>Hematocrit</v>
      </c>
      <c r="I10" s="65">
        <f>F10</f>
        <v>0</v>
      </c>
    </row>
    <row r="11" spans="2:9" x14ac:dyDescent="0.25">
      <c r="B11" s="104" t="s">
        <v>182</v>
      </c>
      <c r="C11" s="105" t="s">
        <v>183</v>
      </c>
      <c r="D11" s="61" t="s">
        <v>173</v>
      </c>
      <c r="E11" s="61" t="s">
        <v>173</v>
      </c>
      <c r="F11" s="84">
        <v>0</v>
      </c>
      <c r="G11" s="61">
        <v>6</v>
      </c>
      <c r="H11" s="65" t="str">
        <f t="shared" si="0"/>
        <v>Malaria parasite smear (MPS)</v>
      </c>
      <c r="I11" s="65">
        <v>5</v>
      </c>
    </row>
    <row r="12" spans="2:9" x14ac:dyDescent="0.25">
      <c r="B12" s="104" t="s">
        <v>184</v>
      </c>
      <c r="C12" s="105" t="s">
        <v>185</v>
      </c>
      <c r="E12" s="61" t="s">
        <v>173</v>
      </c>
      <c r="F12" s="84">
        <v>2</v>
      </c>
      <c r="G12" s="61">
        <v>7</v>
      </c>
      <c r="H12" s="65" t="str">
        <f t="shared" si="0"/>
        <v>Bleeding time and coagulation time</v>
      </c>
      <c r="I12" s="65">
        <f t="shared" ref="I12:I17" si="1">F12</f>
        <v>2</v>
      </c>
    </row>
    <row r="13" spans="2:9" x14ac:dyDescent="0.25">
      <c r="B13" s="104" t="s">
        <v>186</v>
      </c>
      <c r="C13" s="105" t="s">
        <v>187</v>
      </c>
      <c r="E13" s="61" t="s">
        <v>173</v>
      </c>
      <c r="F13" s="84">
        <v>5</v>
      </c>
      <c r="G13" s="61">
        <v>8</v>
      </c>
      <c r="H13" s="65" t="str">
        <f t="shared" si="0"/>
        <v>Blood grouping and Rh factors</v>
      </c>
      <c r="I13" s="65">
        <f t="shared" si="1"/>
        <v>5</v>
      </c>
    </row>
    <row r="14" spans="2:9" x14ac:dyDescent="0.25">
      <c r="B14" s="104" t="s">
        <v>188</v>
      </c>
      <c r="C14" s="105" t="s">
        <v>189</v>
      </c>
      <c r="E14" s="61" t="s">
        <v>173</v>
      </c>
      <c r="F14" s="84">
        <v>14</v>
      </c>
      <c r="G14" s="61">
        <v>9</v>
      </c>
      <c r="H14" s="65" t="str">
        <f t="shared" si="0"/>
        <v xml:space="preserve">Hepatitis B </v>
      </c>
      <c r="I14" s="65">
        <f t="shared" si="1"/>
        <v>14</v>
      </c>
    </row>
    <row r="15" spans="2:9" x14ac:dyDescent="0.25">
      <c r="B15" s="104"/>
      <c r="C15" s="105" t="s">
        <v>190</v>
      </c>
      <c r="F15" s="84">
        <v>24</v>
      </c>
      <c r="G15" s="61">
        <v>10</v>
      </c>
      <c r="H15" s="65" t="str">
        <f t="shared" si="0"/>
        <v>Hepatitis C</v>
      </c>
      <c r="I15" s="65">
        <f t="shared" si="1"/>
        <v>24</v>
      </c>
    </row>
    <row r="16" spans="2:9" x14ac:dyDescent="0.25">
      <c r="B16" s="104"/>
      <c r="C16" s="105" t="s">
        <v>191</v>
      </c>
      <c r="F16" s="84">
        <v>30</v>
      </c>
      <c r="G16" s="61">
        <v>11</v>
      </c>
      <c r="H16" s="65" t="str">
        <f t="shared" si="0"/>
        <v>Syphilis</v>
      </c>
      <c r="I16" s="65">
        <f t="shared" si="1"/>
        <v>30</v>
      </c>
    </row>
    <row r="17" spans="2:9" x14ac:dyDescent="0.25">
      <c r="B17" s="104" t="s">
        <v>27</v>
      </c>
      <c r="C17" s="105" t="s">
        <v>192</v>
      </c>
      <c r="E17" s="61" t="s">
        <v>173</v>
      </c>
      <c r="F17" s="84">
        <v>50</v>
      </c>
      <c r="G17" s="61">
        <v>12</v>
      </c>
      <c r="H17" s="65" t="str">
        <f t="shared" si="0"/>
        <v>HIV test</v>
      </c>
      <c r="I17" s="65">
        <f t="shared" si="1"/>
        <v>50</v>
      </c>
    </row>
    <row r="18" spans="2:9" x14ac:dyDescent="0.25">
      <c r="B18" s="102" t="s">
        <v>193</v>
      </c>
      <c r="C18" s="103" t="s">
        <v>194</v>
      </c>
      <c r="F18" s="84"/>
      <c r="G18" s="61">
        <v>13</v>
      </c>
      <c r="H18" s="65"/>
      <c r="I18" s="65"/>
    </row>
    <row r="19" spans="2:9" x14ac:dyDescent="0.25">
      <c r="B19" s="106" t="s">
        <v>171</v>
      </c>
      <c r="C19" s="105" t="s">
        <v>195</v>
      </c>
      <c r="D19" s="61" t="s">
        <v>173</v>
      </c>
      <c r="E19" s="61" t="s">
        <v>173</v>
      </c>
      <c r="F19" s="84">
        <v>6</v>
      </c>
      <c r="G19" s="61">
        <v>14</v>
      </c>
      <c r="H19" s="65" t="str">
        <f>C19</f>
        <v>Ziehl-Nielsen staining for acid fast bacilli (AFB)</v>
      </c>
      <c r="I19" s="65">
        <f>F19</f>
        <v>6</v>
      </c>
    </row>
    <row r="20" spans="2:9" x14ac:dyDescent="0.25">
      <c r="B20" s="106" t="s">
        <v>174</v>
      </c>
      <c r="C20" s="105" t="s">
        <v>196</v>
      </c>
      <c r="D20" s="61" t="s">
        <v>173</v>
      </c>
      <c r="E20" s="61" t="s">
        <v>173</v>
      </c>
      <c r="F20" s="84">
        <v>6</v>
      </c>
      <c r="G20" s="61">
        <v>15</v>
      </c>
      <c r="H20" s="65" t="str">
        <f>C20</f>
        <v>Direct smear for AFB</v>
      </c>
      <c r="I20" s="65">
        <f>F20</f>
        <v>6</v>
      </c>
    </row>
    <row r="21" spans="2:9" x14ac:dyDescent="0.25">
      <c r="B21" s="106" t="s">
        <v>176</v>
      </c>
      <c r="C21" s="105" t="s">
        <v>197</v>
      </c>
      <c r="D21" s="61" t="s">
        <v>173</v>
      </c>
      <c r="E21" s="61" t="s">
        <v>173</v>
      </c>
      <c r="F21" s="84">
        <v>6</v>
      </c>
      <c r="G21" s="61">
        <v>16</v>
      </c>
      <c r="H21" s="65" t="str">
        <f>C21</f>
        <v>Gram’s staining</v>
      </c>
      <c r="I21" s="65">
        <f>F21</f>
        <v>6</v>
      </c>
    </row>
    <row r="22" spans="2:9" x14ac:dyDescent="0.25">
      <c r="B22" s="102" t="s">
        <v>198</v>
      </c>
      <c r="C22" s="103" t="s">
        <v>199</v>
      </c>
      <c r="F22" s="84"/>
      <c r="G22" s="61">
        <v>17</v>
      </c>
      <c r="H22" s="65"/>
      <c r="I22" s="65"/>
    </row>
    <row r="23" spans="2:9" x14ac:dyDescent="0.25">
      <c r="B23" s="106" t="s">
        <v>171</v>
      </c>
      <c r="C23" s="105" t="s">
        <v>200</v>
      </c>
      <c r="E23" s="61" t="s">
        <v>173</v>
      </c>
      <c r="F23" s="84">
        <v>80</v>
      </c>
      <c r="G23" s="61">
        <v>18</v>
      </c>
      <c r="H23" s="65" t="str">
        <f>C23</f>
        <v>Typhi dot</v>
      </c>
      <c r="I23" s="65">
        <f>F23</f>
        <v>80</v>
      </c>
    </row>
    <row r="24" spans="2:9" x14ac:dyDescent="0.25">
      <c r="B24" s="102" t="s">
        <v>201</v>
      </c>
      <c r="C24" s="103" t="s">
        <v>202</v>
      </c>
      <c r="F24" s="84"/>
      <c r="G24" s="61">
        <v>19</v>
      </c>
      <c r="H24" s="65"/>
      <c r="I24" s="65"/>
    </row>
    <row r="25" spans="2:9" x14ac:dyDescent="0.25">
      <c r="B25" s="106" t="s">
        <v>171</v>
      </c>
      <c r="C25" s="105" t="s">
        <v>203</v>
      </c>
      <c r="D25" s="61" t="s">
        <v>173</v>
      </c>
      <c r="E25" s="61" t="s">
        <v>173</v>
      </c>
      <c r="F25" s="242">
        <v>8.5</v>
      </c>
      <c r="G25" s="61">
        <v>20</v>
      </c>
      <c r="H25" s="65" t="str">
        <f>C25</f>
        <v>Urine analysis: physical exam</v>
      </c>
      <c r="I25" s="65">
        <f>F25</f>
        <v>8.5</v>
      </c>
    </row>
    <row r="26" spans="2:9" x14ac:dyDescent="0.25">
      <c r="B26" s="106" t="s">
        <v>174</v>
      </c>
      <c r="C26" s="105" t="s">
        <v>204</v>
      </c>
      <c r="D26" s="61" t="s">
        <v>173</v>
      </c>
      <c r="E26" s="61" t="s">
        <v>173</v>
      </c>
      <c r="F26" s="242"/>
      <c r="G26" s="61">
        <v>21</v>
      </c>
      <c r="H26" s="65"/>
      <c r="I26" s="65"/>
    </row>
    <row r="27" spans="2:9" x14ac:dyDescent="0.25">
      <c r="B27" s="106" t="s">
        <v>176</v>
      </c>
      <c r="C27" s="105" t="s">
        <v>205</v>
      </c>
      <c r="D27" s="61" t="s">
        <v>173</v>
      </c>
      <c r="E27" s="61" t="s">
        <v>173</v>
      </c>
      <c r="F27" s="242"/>
      <c r="G27" s="61">
        <v>22</v>
      </c>
      <c r="H27" s="65"/>
      <c r="I27" s="65"/>
    </row>
    <row r="28" spans="2:9" x14ac:dyDescent="0.25">
      <c r="B28" s="106" t="s">
        <v>178</v>
      </c>
      <c r="C28" s="105" t="s">
        <v>206</v>
      </c>
      <c r="D28" s="61" t="s">
        <v>173</v>
      </c>
      <c r="E28" s="61" t="s">
        <v>173</v>
      </c>
      <c r="F28" s="242"/>
      <c r="G28" s="61">
        <v>23</v>
      </c>
      <c r="H28" s="65"/>
      <c r="I28" s="65"/>
    </row>
    <row r="29" spans="2:9" x14ac:dyDescent="0.25">
      <c r="B29" s="106" t="s">
        <v>180</v>
      </c>
      <c r="C29" s="105" t="s">
        <v>207</v>
      </c>
      <c r="D29" s="61" t="s">
        <v>173</v>
      </c>
      <c r="E29" s="61" t="s">
        <v>173</v>
      </c>
      <c r="F29" s="242"/>
      <c r="G29" s="61">
        <v>24</v>
      </c>
      <c r="H29" s="65"/>
      <c r="I29" s="65"/>
    </row>
    <row r="30" spans="2:9" x14ac:dyDescent="0.25">
      <c r="B30" s="106" t="s">
        <v>182</v>
      </c>
      <c r="C30" s="105" t="s">
        <v>208</v>
      </c>
      <c r="D30" s="61" t="s">
        <v>173</v>
      </c>
      <c r="E30" s="61" t="s">
        <v>173</v>
      </c>
      <c r="F30" s="242">
        <v>1.5</v>
      </c>
      <c r="G30" s="61">
        <v>25</v>
      </c>
      <c r="H30" s="65" t="str">
        <f>C30</f>
        <v>Microscopic (stool test)</v>
      </c>
      <c r="I30" s="65">
        <f>F30</f>
        <v>1.5</v>
      </c>
    </row>
    <row r="31" spans="2:9" x14ac:dyDescent="0.25">
      <c r="B31" s="106" t="s">
        <v>184</v>
      </c>
      <c r="C31" s="105" t="s">
        <v>209</v>
      </c>
      <c r="D31" s="61" t="s">
        <v>173</v>
      </c>
      <c r="E31" s="61" t="s">
        <v>173</v>
      </c>
      <c r="F31" s="242"/>
      <c r="G31" s="61">
        <v>26</v>
      </c>
      <c r="H31" s="65" t="str">
        <f>C31</f>
        <v>Macroscopic (stool test)</v>
      </c>
      <c r="I31" s="65">
        <v>2</v>
      </c>
    </row>
    <row r="32" spans="2:9" x14ac:dyDescent="0.25">
      <c r="B32" s="106" t="s">
        <v>186</v>
      </c>
      <c r="C32" s="105" t="s">
        <v>210</v>
      </c>
      <c r="D32" s="61" t="s">
        <v>173</v>
      </c>
      <c r="E32" s="61" t="s">
        <v>173</v>
      </c>
      <c r="F32" s="84">
        <v>5</v>
      </c>
      <c r="G32" s="61">
        <v>27</v>
      </c>
      <c r="H32" s="65" t="str">
        <f>C32</f>
        <v>Pregnancy test</v>
      </c>
      <c r="I32" s="65">
        <f>F32</f>
        <v>5</v>
      </c>
    </row>
    <row r="33" spans="2:9" x14ac:dyDescent="0.25">
      <c r="B33" s="102" t="s">
        <v>211</v>
      </c>
      <c r="C33" s="103" t="s">
        <v>212</v>
      </c>
      <c r="F33" s="84"/>
      <c r="G33" s="61">
        <v>28</v>
      </c>
      <c r="H33" s="65"/>
      <c r="I33" s="65"/>
    </row>
    <row r="34" spans="2:9" x14ac:dyDescent="0.25">
      <c r="B34" s="106" t="s">
        <v>171</v>
      </c>
      <c r="C34" s="105" t="s">
        <v>213</v>
      </c>
      <c r="E34" s="61" t="s">
        <v>173</v>
      </c>
      <c r="F34" s="84">
        <v>15</v>
      </c>
      <c r="G34" s="61">
        <v>29</v>
      </c>
      <c r="H34" s="65" t="str">
        <f t="shared" ref="H34:H39" si="2">C34</f>
        <v>Blood-sugar test</v>
      </c>
      <c r="I34" s="65">
        <f t="shared" ref="I34:I39" si="3">F34</f>
        <v>15</v>
      </c>
    </row>
    <row r="35" spans="2:9" x14ac:dyDescent="0.25">
      <c r="B35" s="106" t="s">
        <v>174</v>
      </c>
      <c r="C35" s="105" t="s">
        <v>214</v>
      </c>
      <c r="E35" s="61" t="s">
        <v>173</v>
      </c>
      <c r="F35" s="84">
        <v>12</v>
      </c>
      <c r="G35" s="61">
        <v>30</v>
      </c>
      <c r="H35" s="65" t="str">
        <f t="shared" si="2"/>
        <v>Urea test</v>
      </c>
      <c r="I35" s="65">
        <f t="shared" si="3"/>
        <v>12</v>
      </c>
    </row>
    <row r="36" spans="2:9" x14ac:dyDescent="0.25">
      <c r="B36" s="106" t="s">
        <v>176</v>
      </c>
      <c r="C36" s="105" t="s">
        <v>215</v>
      </c>
      <c r="E36" s="61" t="s">
        <v>173</v>
      </c>
      <c r="F36" s="84">
        <v>16</v>
      </c>
      <c r="G36" s="61">
        <v>31</v>
      </c>
      <c r="H36" s="65" t="str">
        <f t="shared" si="2"/>
        <v>Creatinine test</v>
      </c>
      <c r="I36" s="65">
        <f t="shared" si="3"/>
        <v>16</v>
      </c>
    </row>
    <row r="37" spans="2:9" x14ac:dyDescent="0.25">
      <c r="B37" s="106" t="s">
        <v>178</v>
      </c>
      <c r="C37" s="105" t="s">
        <v>216</v>
      </c>
      <c r="E37" s="61" t="s">
        <v>173</v>
      </c>
      <c r="F37" s="84">
        <v>25</v>
      </c>
      <c r="G37" s="61">
        <v>32</v>
      </c>
      <c r="H37" s="65" t="str">
        <f t="shared" si="2"/>
        <v>Total protein test</v>
      </c>
      <c r="I37" s="65">
        <f t="shared" si="3"/>
        <v>25</v>
      </c>
    </row>
    <row r="38" spans="2:9" x14ac:dyDescent="0.25">
      <c r="B38" s="106" t="s">
        <v>180</v>
      </c>
      <c r="C38" s="105" t="s">
        <v>217</v>
      </c>
      <c r="E38" s="61" t="s">
        <v>173</v>
      </c>
      <c r="F38" s="84">
        <v>54</v>
      </c>
      <c r="G38" s="61">
        <v>33</v>
      </c>
      <c r="H38" s="65" t="str">
        <f t="shared" si="2"/>
        <v>Simple liver-function test</v>
      </c>
      <c r="I38" s="65">
        <f t="shared" si="3"/>
        <v>54</v>
      </c>
    </row>
    <row r="39" spans="2:9" x14ac:dyDescent="0.25">
      <c r="B39" s="106" t="s">
        <v>182</v>
      </c>
      <c r="C39" s="105" t="s">
        <v>218</v>
      </c>
      <c r="F39" s="84">
        <v>15</v>
      </c>
      <c r="G39" s="61">
        <v>34</v>
      </c>
      <c r="H39" s="65" t="str">
        <f t="shared" si="2"/>
        <v>Brucellosis</v>
      </c>
      <c r="I39" s="65">
        <f t="shared" si="3"/>
        <v>15</v>
      </c>
    </row>
    <row r="40" spans="2:9" x14ac:dyDescent="0.25">
      <c r="B40" s="102" t="s">
        <v>219</v>
      </c>
      <c r="C40" s="103" t="s">
        <v>220</v>
      </c>
      <c r="F40" s="84"/>
      <c r="G40" s="61">
        <v>35</v>
      </c>
      <c r="H40" s="65"/>
      <c r="I40" s="65"/>
    </row>
    <row r="41" spans="2:9" x14ac:dyDescent="0.25">
      <c r="B41" s="106" t="s">
        <v>171</v>
      </c>
      <c r="C41" s="105" t="s">
        <v>221</v>
      </c>
      <c r="D41" s="61" t="s">
        <v>173</v>
      </c>
      <c r="E41" s="61" t="s">
        <v>173</v>
      </c>
      <c r="F41" s="84">
        <v>5.5</v>
      </c>
      <c r="G41" s="61">
        <v>36</v>
      </c>
      <c r="H41" s="65" t="str">
        <f>C41</f>
        <v>Body fluids</v>
      </c>
      <c r="I41" s="65">
        <f>F41</f>
        <v>5.5</v>
      </c>
    </row>
    <row r="42" spans="2:9" x14ac:dyDescent="0.25">
      <c r="B42" s="100">
        <v>2</v>
      </c>
      <c r="C42" s="101" t="s">
        <v>222</v>
      </c>
      <c r="F42" s="84"/>
      <c r="G42" s="61">
        <v>37</v>
      </c>
      <c r="H42" s="65"/>
      <c r="I42" s="65"/>
    </row>
    <row r="43" spans="2:9" x14ac:dyDescent="0.25">
      <c r="B43" s="102" t="s">
        <v>169</v>
      </c>
      <c r="C43" s="103" t="s">
        <v>223</v>
      </c>
      <c r="F43" s="84"/>
      <c r="G43" s="61">
        <v>38</v>
      </c>
      <c r="H43" s="65"/>
      <c r="I43" s="65"/>
    </row>
    <row r="44" spans="2:9" x14ac:dyDescent="0.25">
      <c r="B44" s="106" t="s">
        <v>171</v>
      </c>
      <c r="C44" s="105" t="s">
        <v>224</v>
      </c>
      <c r="E44" s="61" t="s">
        <v>173</v>
      </c>
      <c r="F44" s="84">
        <v>40</v>
      </c>
      <c r="G44" s="61">
        <v>39</v>
      </c>
      <c r="H44" s="83" t="s">
        <v>714</v>
      </c>
      <c r="I44" s="65">
        <f>F44</f>
        <v>40</v>
      </c>
    </row>
    <row r="45" spans="2:9" x14ac:dyDescent="0.25">
      <c r="B45" s="106" t="s">
        <v>174</v>
      </c>
      <c r="C45" s="105" t="s">
        <v>225</v>
      </c>
      <c r="E45" s="61" t="s">
        <v>173</v>
      </c>
      <c r="F45" s="84">
        <v>40</v>
      </c>
      <c r="G45" s="61">
        <v>40</v>
      </c>
      <c r="H45" s="65" t="str">
        <f>C45</f>
        <v>Abdomen</v>
      </c>
      <c r="I45" s="65">
        <f>F45</f>
        <v>40</v>
      </c>
    </row>
    <row r="46" spans="2:9" x14ac:dyDescent="0.25">
      <c r="B46" s="106" t="s">
        <v>176</v>
      </c>
      <c r="C46" s="105" t="s">
        <v>226</v>
      </c>
      <c r="E46" s="61" t="s">
        <v>173</v>
      </c>
      <c r="F46" s="84">
        <v>40</v>
      </c>
      <c r="G46" s="61">
        <v>41</v>
      </c>
      <c r="H46" s="65" t="str">
        <f>C46</f>
        <v>Skeletal</v>
      </c>
      <c r="I46" s="65">
        <f>F46</f>
        <v>40</v>
      </c>
    </row>
    <row r="47" spans="2:9" x14ac:dyDescent="0.25">
      <c r="B47" s="107" t="s">
        <v>178</v>
      </c>
      <c r="C47" s="105" t="s">
        <v>227</v>
      </c>
      <c r="F47" s="84">
        <v>3</v>
      </c>
      <c r="G47" s="61">
        <v>42</v>
      </c>
      <c r="H47" s="65" t="str">
        <f>C47</f>
        <v>Ultrasound</v>
      </c>
      <c r="I47" s="65">
        <v>5</v>
      </c>
    </row>
    <row r="48" spans="2:9" x14ac:dyDescent="0.25">
      <c r="H48" s="166"/>
      <c r="I48" s="166"/>
    </row>
  </sheetData>
  <sheetProtection algorithmName="SHA-512" hashValue="rGnBXBZcGajWK9aZ2lKg2mPx+DeRGXWBg5qqXmvukN/4zmeygrjwWvziIBKsovHe/5SQPzySLcKku8WWIrhmug==" saltValue="w8B5W9qhZEH5J2NQCwEi8Q==" spinCount="100000" sheet="1" objects="1" scenarios="1"/>
  <mergeCells count="3">
    <mergeCell ref="F25:F29"/>
    <mergeCell ref="F30:F31"/>
    <mergeCell ref="H4:I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X34"/>
  <sheetViews>
    <sheetView showGridLines="0" zoomScale="115" zoomScaleNormal="115" workbookViewId="0">
      <selection activeCell="N13" sqref="N13"/>
    </sheetView>
  </sheetViews>
  <sheetFormatPr defaultRowHeight="15" x14ac:dyDescent="0.25"/>
  <cols>
    <col min="1" max="2" width="9.140625" style="61"/>
    <col min="3" max="3" width="38.5703125" style="61" bestFit="1" customWidth="1"/>
    <col min="4" max="5" width="9.140625" style="61"/>
    <col min="6" max="6" width="14.7109375" style="61" bestFit="1" customWidth="1"/>
    <col min="7" max="7" width="11.7109375" style="61" bestFit="1" customWidth="1"/>
    <col min="8" max="8" width="9.7109375" style="61" bestFit="1" customWidth="1"/>
    <col min="9" max="9" width="7.7109375" style="61" bestFit="1" customWidth="1"/>
    <col min="10" max="13" width="9.140625" style="61" customWidth="1"/>
    <col min="14" max="14" width="10.7109375" style="61" hidden="1" customWidth="1"/>
    <col min="15" max="15" width="9.140625" style="61" hidden="1" customWidth="1"/>
    <col min="16" max="16" width="13.28515625" style="61" hidden="1" customWidth="1"/>
    <col min="17" max="21" width="9.140625" style="61" hidden="1" customWidth="1"/>
    <col min="22" max="22" width="40" style="61" hidden="1" customWidth="1"/>
    <col min="23" max="23" width="10.7109375" style="61" hidden="1" customWidth="1"/>
    <col min="24" max="24" width="9.140625" style="61" hidden="1" customWidth="1"/>
    <col min="25" max="28" width="0" style="61" hidden="1" customWidth="1"/>
    <col min="29" max="16384" width="9.140625" style="61"/>
  </cols>
  <sheetData>
    <row r="1" spans="3:24" x14ac:dyDescent="0.25">
      <c r="H1" s="108">
        <f>25*8</f>
        <v>200</v>
      </c>
      <c r="I1" s="108">
        <v>60</v>
      </c>
    </row>
    <row r="2" spans="3:24" x14ac:dyDescent="0.25">
      <c r="C2" s="203" t="s">
        <v>248</v>
      </c>
      <c r="D2" s="246" t="s">
        <v>249</v>
      </c>
      <c r="E2" s="246" t="s">
        <v>228</v>
      </c>
      <c r="F2" s="246" t="s">
        <v>311</v>
      </c>
      <c r="G2" s="246"/>
      <c r="H2" s="246"/>
      <c r="I2" s="246"/>
      <c r="V2" s="244" t="s">
        <v>248</v>
      </c>
    </row>
    <row r="3" spans="3:24" ht="15" customHeight="1" x14ac:dyDescent="0.25">
      <c r="C3" s="204"/>
      <c r="D3" s="246"/>
      <c r="E3" s="246"/>
      <c r="F3" s="146" t="s">
        <v>237</v>
      </c>
      <c r="G3" s="146" t="s">
        <v>308</v>
      </c>
      <c r="H3" s="146" t="s">
        <v>309</v>
      </c>
      <c r="I3" s="146" t="s">
        <v>310</v>
      </c>
      <c r="V3" s="245"/>
      <c r="W3" s="61" t="s">
        <v>848</v>
      </c>
      <c r="X3" s="61" t="s">
        <v>849</v>
      </c>
    </row>
    <row r="4" spans="3:24" hidden="1" x14ac:dyDescent="0.25">
      <c r="C4" s="147" t="s">
        <v>137</v>
      </c>
      <c r="D4" s="148">
        <v>0</v>
      </c>
      <c r="E4" s="148">
        <v>17</v>
      </c>
      <c r="F4" s="149">
        <f>VLOOKUP($E$4:$E$22,Pay_scale!$B$5:$H$23,7,FALSE)</f>
        <v>809100</v>
      </c>
      <c r="G4" s="149">
        <f>F4/12</f>
        <v>67425</v>
      </c>
      <c r="H4" s="149">
        <f>G4/$H$1</f>
        <v>337.125</v>
      </c>
      <c r="I4" s="149">
        <f>H4/$I$1</f>
        <v>5.6187500000000004</v>
      </c>
      <c r="P4" s="84">
        <f>D4*F4</f>
        <v>0</v>
      </c>
      <c r="Q4" s="86" t="str">
        <f>C4</f>
        <v>Medical Officer</v>
      </c>
      <c r="T4" s="61" t="s">
        <v>847</v>
      </c>
      <c r="V4" s="86" t="str">
        <f>C4</f>
        <v>Medical Officer</v>
      </c>
      <c r="W4" s="61">
        <f>D4*F4</f>
        <v>0</v>
      </c>
      <c r="X4" s="61">
        <f>D4*G4</f>
        <v>0</v>
      </c>
    </row>
    <row r="5" spans="3:24" hidden="1" x14ac:dyDescent="0.25">
      <c r="C5" s="150" t="s">
        <v>246</v>
      </c>
      <c r="D5" s="148">
        <v>0</v>
      </c>
      <c r="E5" s="148">
        <v>16</v>
      </c>
      <c r="F5" s="149">
        <f>VLOOKUP($E$4:$E$22,Pay_scale!$B$5:$H$23,7,FALSE)</f>
        <v>690804</v>
      </c>
      <c r="G5" s="149">
        <f t="shared" ref="G5:G22" si="0">F5/12</f>
        <v>57567</v>
      </c>
      <c r="H5" s="149">
        <f t="shared" ref="H5:H22" si="1">G5/$H$1</f>
        <v>287.83499999999998</v>
      </c>
      <c r="I5" s="149">
        <f t="shared" ref="I5:I22" si="2">H5/$I$1</f>
        <v>4.79725</v>
      </c>
      <c r="P5" s="84">
        <f t="shared" ref="P5:P22" si="3">D5*F5</f>
        <v>0</v>
      </c>
      <c r="Q5" s="86" t="str">
        <f t="shared" ref="Q5:Q27" si="4">C5</f>
        <v>Nurse</v>
      </c>
      <c r="T5" s="61" t="s">
        <v>847</v>
      </c>
      <c r="V5" s="86" t="str">
        <f t="shared" ref="V5:V27" si="5">C5</f>
        <v>Nurse</v>
      </c>
      <c r="W5" s="84">
        <f t="shared" ref="W5:W27" si="6">D5*F5</f>
        <v>0</v>
      </c>
      <c r="X5" s="61">
        <f t="shared" ref="X5:X27" si="7">D5*G5</f>
        <v>0</v>
      </c>
    </row>
    <row r="6" spans="3:24" x14ac:dyDescent="0.25">
      <c r="C6" s="147" t="s">
        <v>869</v>
      </c>
      <c r="D6" s="148">
        <v>1</v>
      </c>
      <c r="E6" s="148">
        <v>5</v>
      </c>
      <c r="F6" s="149">
        <f>VLOOKUP($E$4:$E$22,Pay_scale!$B$5:$H$23,7,FALSE)</f>
        <v>263748</v>
      </c>
      <c r="G6" s="149">
        <f t="shared" si="0"/>
        <v>21979</v>
      </c>
      <c r="H6" s="149">
        <f t="shared" si="1"/>
        <v>109.895</v>
      </c>
      <c r="I6" s="149">
        <f t="shared" si="2"/>
        <v>1.8315833333333333</v>
      </c>
      <c r="P6" s="61">
        <f t="shared" si="3"/>
        <v>263748</v>
      </c>
      <c r="Q6" s="86" t="str">
        <f t="shared" si="4"/>
        <v>Lady Health Worker</v>
      </c>
      <c r="T6" s="61" t="s">
        <v>847</v>
      </c>
      <c r="V6" s="86" t="str">
        <f t="shared" si="5"/>
        <v>Lady Health Worker</v>
      </c>
      <c r="W6" s="61">
        <f t="shared" si="6"/>
        <v>263748</v>
      </c>
      <c r="X6" s="61">
        <f t="shared" si="7"/>
        <v>21979</v>
      </c>
    </row>
    <row r="7" spans="3:24" hidden="1" x14ac:dyDescent="0.25">
      <c r="C7" s="147" t="s">
        <v>866</v>
      </c>
      <c r="D7" s="148">
        <v>0</v>
      </c>
      <c r="E7" s="148">
        <v>17</v>
      </c>
      <c r="F7" s="149">
        <f>VLOOKUP($E$4:$E$22,Pay_scale!$B$5:$H$23,7,FALSE)</f>
        <v>809100</v>
      </c>
      <c r="G7" s="149">
        <f t="shared" si="0"/>
        <v>67425</v>
      </c>
      <c r="H7" s="149">
        <f t="shared" si="1"/>
        <v>337.125</v>
      </c>
      <c r="I7" s="149">
        <f t="shared" si="2"/>
        <v>5.6187500000000004</v>
      </c>
      <c r="P7" s="61">
        <f t="shared" si="3"/>
        <v>0</v>
      </c>
      <c r="Q7" s="86" t="str">
        <f t="shared" si="4"/>
        <v>School Health and Nutrition Supervisor</v>
      </c>
      <c r="T7" s="61" t="s">
        <v>171</v>
      </c>
      <c r="V7" s="86" t="str">
        <f t="shared" si="5"/>
        <v>School Health and Nutrition Supervisor</v>
      </c>
      <c r="W7" s="61">
        <f t="shared" si="6"/>
        <v>0</v>
      </c>
      <c r="X7" s="61">
        <f t="shared" si="7"/>
        <v>0</v>
      </c>
    </row>
    <row r="8" spans="3:24" hidden="1" x14ac:dyDescent="0.25">
      <c r="C8" s="150" t="s">
        <v>240</v>
      </c>
      <c r="D8" s="148">
        <v>0</v>
      </c>
      <c r="E8" s="148">
        <v>14</v>
      </c>
      <c r="F8" s="149">
        <f>VLOOKUP($E$4:$E$22,Pay_scale!$B$5:$H$23,7,FALSE)</f>
        <v>513360</v>
      </c>
      <c r="G8" s="149">
        <f t="shared" si="0"/>
        <v>42780</v>
      </c>
      <c r="H8" s="149">
        <f t="shared" si="1"/>
        <v>213.9</v>
      </c>
      <c r="I8" s="149">
        <f t="shared" si="2"/>
        <v>3.5649999999999999</v>
      </c>
      <c r="P8" s="61">
        <f t="shared" si="3"/>
        <v>0</v>
      </c>
      <c r="Q8" s="86" t="str">
        <f t="shared" si="4"/>
        <v>Medical Technician (pharmacy + dressing)</v>
      </c>
      <c r="T8" s="61" t="s">
        <v>847</v>
      </c>
      <c r="V8" s="86" t="str">
        <f t="shared" si="5"/>
        <v>Medical Technician (pharmacy + dressing)</v>
      </c>
      <c r="W8" s="61">
        <f t="shared" si="6"/>
        <v>0</v>
      </c>
      <c r="X8" s="61">
        <f t="shared" si="7"/>
        <v>0</v>
      </c>
    </row>
    <row r="9" spans="3:24" hidden="1" x14ac:dyDescent="0.25">
      <c r="C9" s="150" t="s">
        <v>140</v>
      </c>
      <c r="D9" s="148">
        <v>0</v>
      </c>
      <c r="E9" s="148">
        <v>9</v>
      </c>
      <c r="F9" s="149">
        <f>VLOOKUP($E$4:$E$22,Pay_scale!$B$5:$H$23,7,FALSE)</f>
        <v>350145</v>
      </c>
      <c r="G9" s="149">
        <f t="shared" si="0"/>
        <v>29178.75</v>
      </c>
      <c r="H9" s="149">
        <f t="shared" si="1"/>
        <v>145.89375000000001</v>
      </c>
      <c r="I9" s="149">
        <f t="shared" si="2"/>
        <v>2.4315625000000001</v>
      </c>
      <c r="P9" s="61">
        <f t="shared" si="3"/>
        <v>0</v>
      </c>
      <c r="Q9" s="86" t="str">
        <f t="shared" si="4"/>
        <v>EPI Technician</v>
      </c>
      <c r="T9" s="61" t="s">
        <v>847</v>
      </c>
      <c r="V9" s="86" t="str">
        <f t="shared" si="5"/>
        <v>EPI Technician</v>
      </c>
      <c r="W9" s="61">
        <f t="shared" si="6"/>
        <v>0</v>
      </c>
      <c r="X9" s="61">
        <f t="shared" si="7"/>
        <v>0</v>
      </c>
    </row>
    <row r="10" spans="3:24" hidden="1" x14ac:dyDescent="0.25">
      <c r="C10" s="150" t="s">
        <v>132</v>
      </c>
      <c r="D10" s="148">
        <v>0</v>
      </c>
      <c r="E10" s="148">
        <v>9</v>
      </c>
      <c r="F10" s="149">
        <f>VLOOKUP($E$4:$E$22,Pay_scale!$B$5:$H$23,7,FALSE)</f>
        <v>350145</v>
      </c>
      <c r="G10" s="149">
        <f t="shared" si="0"/>
        <v>29178.75</v>
      </c>
      <c r="H10" s="149">
        <f t="shared" si="1"/>
        <v>145.89375000000001</v>
      </c>
      <c r="I10" s="149">
        <f t="shared" si="2"/>
        <v>2.4315625000000001</v>
      </c>
      <c r="P10" s="61">
        <f t="shared" si="3"/>
        <v>0</v>
      </c>
      <c r="Q10" s="86" t="str">
        <f t="shared" si="4"/>
        <v>Laboratory technician</v>
      </c>
      <c r="T10" s="61" t="s">
        <v>847</v>
      </c>
      <c r="V10" s="86" t="str">
        <f t="shared" si="5"/>
        <v>Laboratory technician</v>
      </c>
      <c r="W10" s="61">
        <f t="shared" si="6"/>
        <v>0</v>
      </c>
      <c r="X10" s="61">
        <f t="shared" si="7"/>
        <v>0</v>
      </c>
    </row>
    <row r="11" spans="3:24" hidden="1" x14ac:dyDescent="0.25">
      <c r="C11" s="150" t="s">
        <v>133</v>
      </c>
      <c r="D11" s="148">
        <v>0</v>
      </c>
      <c r="E11" s="148">
        <v>9</v>
      </c>
      <c r="F11" s="149">
        <f>VLOOKUP($E$4:$E$22,Pay_scale!$B$5:$H$23,7,FALSE)</f>
        <v>350145</v>
      </c>
      <c r="G11" s="149">
        <f t="shared" si="0"/>
        <v>29178.75</v>
      </c>
      <c r="H11" s="149">
        <f t="shared" si="1"/>
        <v>145.89375000000001</v>
      </c>
      <c r="I11" s="149">
        <f t="shared" si="2"/>
        <v>2.4315625000000001</v>
      </c>
      <c r="P11" s="61">
        <f t="shared" si="3"/>
        <v>0</v>
      </c>
      <c r="Q11" s="86" t="str">
        <f t="shared" si="4"/>
        <v>X Ray  technician</v>
      </c>
      <c r="T11" s="61" t="s">
        <v>847</v>
      </c>
      <c r="V11" s="86" t="str">
        <f t="shared" si="5"/>
        <v>X Ray  technician</v>
      </c>
      <c r="W11" s="61">
        <f t="shared" si="6"/>
        <v>0</v>
      </c>
      <c r="X11" s="61">
        <f t="shared" si="7"/>
        <v>0</v>
      </c>
    </row>
    <row r="12" spans="3:24" hidden="1" x14ac:dyDescent="0.25">
      <c r="C12" s="150" t="s">
        <v>134</v>
      </c>
      <c r="D12" s="148">
        <v>0</v>
      </c>
      <c r="E12" s="148">
        <v>15</v>
      </c>
      <c r="F12" s="149">
        <f>VLOOKUP($E$4:$E$22,Pay_scale!$B$5:$H$23,7,FALSE)</f>
        <v>565533</v>
      </c>
      <c r="G12" s="149">
        <f t="shared" si="0"/>
        <v>47127.75</v>
      </c>
      <c r="H12" s="149">
        <f t="shared" si="1"/>
        <v>235.63874999999999</v>
      </c>
      <c r="I12" s="149">
        <f t="shared" si="2"/>
        <v>3.9273124999999998</v>
      </c>
      <c r="K12" s="81"/>
      <c r="P12" s="61">
        <f t="shared" si="3"/>
        <v>0</v>
      </c>
      <c r="Q12" s="86" t="str">
        <f t="shared" si="4"/>
        <v>Optician</v>
      </c>
      <c r="T12" s="61" t="s">
        <v>171</v>
      </c>
      <c r="V12" s="86" t="str">
        <f t="shared" si="5"/>
        <v>Optician</v>
      </c>
      <c r="W12" s="61">
        <f t="shared" si="6"/>
        <v>0</v>
      </c>
      <c r="X12" s="61">
        <f t="shared" si="7"/>
        <v>0</v>
      </c>
    </row>
    <row r="13" spans="3:24" hidden="1" x14ac:dyDescent="0.25">
      <c r="C13" s="150" t="s">
        <v>241</v>
      </c>
      <c r="D13" s="148">
        <v>0</v>
      </c>
      <c r="E13" s="148">
        <v>4</v>
      </c>
      <c r="F13" s="149">
        <f>VLOOKUP($E$4:$E$22,Pay_scale!$B$5:$H$23,7,FALSE)</f>
        <v>242823</v>
      </c>
      <c r="G13" s="149">
        <f t="shared" si="0"/>
        <v>20235.25</v>
      </c>
      <c r="H13" s="149">
        <f t="shared" si="1"/>
        <v>101.17625</v>
      </c>
      <c r="I13" s="149">
        <f t="shared" si="2"/>
        <v>1.6862708333333332</v>
      </c>
      <c r="P13" s="61">
        <f t="shared" si="3"/>
        <v>0</v>
      </c>
      <c r="Q13" s="86" t="str">
        <f t="shared" si="4"/>
        <v>Dai / midwife</v>
      </c>
      <c r="T13" s="61" t="s">
        <v>847</v>
      </c>
      <c r="V13" s="86" t="str">
        <f t="shared" si="5"/>
        <v>Dai / midwife</v>
      </c>
      <c r="W13" s="61">
        <f t="shared" si="6"/>
        <v>0</v>
      </c>
      <c r="X13" s="61">
        <f t="shared" si="7"/>
        <v>0</v>
      </c>
    </row>
    <row r="14" spans="3:24" hidden="1" x14ac:dyDescent="0.25">
      <c r="C14" s="150" t="s">
        <v>135</v>
      </c>
      <c r="D14" s="148">
        <v>0</v>
      </c>
      <c r="E14" s="148">
        <v>17</v>
      </c>
      <c r="F14" s="149">
        <f>VLOOKUP($E$4:$E$22,Pay_scale!$B$5:$H$23,7,FALSE)</f>
        <v>809100</v>
      </c>
      <c r="G14" s="149">
        <f t="shared" si="0"/>
        <v>67425</v>
      </c>
      <c r="H14" s="149">
        <f t="shared" si="1"/>
        <v>337.125</v>
      </c>
      <c r="I14" s="149">
        <f t="shared" si="2"/>
        <v>5.6187500000000004</v>
      </c>
      <c r="K14" s="81"/>
      <c r="P14" s="61">
        <f t="shared" si="3"/>
        <v>0</v>
      </c>
      <c r="Q14" s="86" t="str">
        <f t="shared" si="4"/>
        <v>Dental Surgeon</v>
      </c>
      <c r="T14" s="61" t="s">
        <v>171</v>
      </c>
      <c r="V14" s="86" t="str">
        <f t="shared" si="5"/>
        <v>Dental Surgeon</v>
      </c>
      <c r="W14" s="61">
        <f t="shared" si="6"/>
        <v>0</v>
      </c>
      <c r="X14" s="61">
        <f t="shared" si="7"/>
        <v>0</v>
      </c>
    </row>
    <row r="15" spans="3:24" hidden="1" x14ac:dyDescent="0.25">
      <c r="C15" s="150" t="s">
        <v>136</v>
      </c>
      <c r="D15" s="148">
        <v>0</v>
      </c>
      <c r="E15" s="148">
        <v>9</v>
      </c>
      <c r="F15" s="149">
        <f>VLOOKUP($E$4:$E$22,Pay_scale!$B$5:$H$23,7,FALSE)</f>
        <v>350145</v>
      </c>
      <c r="G15" s="149">
        <f t="shared" si="0"/>
        <v>29178.75</v>
      </c>
      <c r="H15" s="149">
        <f t="shared" si="1"/>
        <v>145.89375000000001</v>
      </c>
      <c r="I15" s="149">
        <f t="shared" si="2"/>
        <v>2.4315625000000001</v>
      </c>
      <c r="K15" s="81"/>
      <c r="P15" s="61">
        <f t="shared" si="3"/>
        <v>0</v>
      </c>
      <c r="Q15" s="86" t="str">
        <f t="shared" si="4"/>
        <v>Dental technicians</v>
      </c>
      <c r="T15" s="61" t="s">
        <v>171</v>
      </c>
      <c r="V15" s="86" t="str">
        <f t="shared" si="5"/>
        <v>Dental technicians</v>
      </c>
      <c r="W15" s="61">
        <f t="shared" si="6"/>
        <v>0</v>
      </c>
      <c r="X15" s="61">
        <f t="shared" si="7"/>
        <v>0</v>
      </c>
    </row>
    <row r="16" spans="3:24" hidden="1" x14ac:dyDescent="0.25">
      <c r="C16" s="150" t="s">
        <v>247</v>
      </c>
      <c r="D16" s="148">
        <v>0</v>
      </c>
      <c r="E16" s="148">
        <v>8</v>
      </c>
      <c r="F16" s="149">
        <f>VLOOKUP($E$4:$E$22,Pay_scale!$B$5:$H$23,7,FALSE)</f>
        <v>329220</v>
      </c>
      <c r="G16" s="149">
        <f t="shared" si="0"/>
        <v>27435</v>
      </c>
      <c r="H16" s="149">
        <f t="shared" si="1"/>
        <v>137.17500000000001</v>
      </c>
      <c r="I16" s="149">
        <f t="shared" si="2"/>
        <v>2.2862500000000003</v>
      </c>
      <c r="K16" s="81">
        <f>F16</f>
        <v>329220</v>
      </c>
      <c r="L16" s="81">
        <f>12*D16</f>
        <v>0</v>
      </c>
      <c r="M16" s="81">
        <f>L16*200</f>
        <v>0</v>
      </c>
      <c r="N16" s="81">
        <f>M16*60</f>
        <v>0</v>
      </c>
      <c r="P16" s="61">
        <f t="shared" si="3"/>
        <v>0</v>
      </c>
      <c r="Q16" s="86" t="str">
        <f t="shared" si="4"/>
        <v>Computer Operator</v>
      </c>
      <c r="T16" s="61" t="s">
        <v>171</v>
      </c>
      <c r="V16" s="86" t="str">
        <f t="shared" si="5"/>
        <v>Computer Operator</v>
      </c>
      <c r="W16" s="61">
        <f t="shared" si="6"/>
        <v>0</v>
      </c>
      <c r="X16" s="61">
        <f t="shared" si="7"/>
        <v>0</v>
      </c>
    </row>
    <row r="17" spans="3:24" hidden="1" x14ac:dyDescent="0.25">
      <c r="C17" s="150" t="s">
        <v>242</v>
      </c>
      <c r="D17" s="148">
        <v>0</v>
      </c>
      <c r="E17" s="148">
        <v>4</v>
      </c>
      <c r="F17" s="149">
        <f>VLOOKUP($E$4:$E$22,Pay_scale!$B$5:$H$23,7,FALSE)</f>
        <v>242823</v>
      </c>
      <c r="G17" s="149">
        <f t="shared" si="0"/>
        <v>20235.25</v>
      </c>
      <c r="H17" s="149">
        <f t="shared" si="1"/>
        <v>101.17625</v>
      </c>
      <c r="I17" s="149">
        <f t="shared" si="2"/>
        <v>1.6862708333333332</v>
      </c>
      <c r="K17" s="81">
        <f t="shared" ref="K17:K22" si="8">F17</f>
        <v>242823</v>
      </c>
      <c r="L17" s="81">
        <f t="shared" ref="L17:L23" si="9">12*D17</f>
        <v>0</v>
      </c>
      <c r="M17" s="81">
        <f t="shared" ref="M17:M23" si="10">L17*200</f>
        <v>0</v>
      </c>
      <c r="N17" s="81">
        <f t="shared" ref="N17:N23" si="11">M17*60</f>
        <v>0</v>
      </c>
      <c r="P17" s="61">
        <f t="shared" si="3"/>
        <v>0</v>
      </c>
      <c r="Q17" s="86" t="str">
        <f t="shared" si="4"/>
        <v>Ambulance driver</v>
      </c>
      <c r="T17" s="61" t="s">
        <v>171</v>
      </c>
      <c r="V17" s="86" t="str">
        <f t="shared" si="5"/>
        <v>Ambulance driver</v>
      </c>
      <c r="W17" s="61">
        <f t="shared" si="6"/>
        <v>0</v>
      </c>
      <c r="X17" s="61">
        <f t="shared" si="7"/>
        <v>0</v>
      </c>
    </row>
    <row r="18" spans="3:24" hidden="1" x14ac:dyDescent="0.25">
      <c r="C18" s="150" t="s">
        <v>867</v>
      </c>
      <c r="D18" s="148">
        <v>0</v>
      </c>
      <c r="E18" s="148">
        <v>1</v>
      </c>
      <c r="F18" s="149">
        <f>VLOOKUP($E$4:$E$22,Pay_scale!$B$5:$H$23,7,FALSE)</f>
        <v>169260</v>
      </c>
      <c r="G18" s="149">
        <f t="shared" si="0"/>
        <v>14105</v>
      </c>
      <c r="H18" s="149">
        <f t="shared" si="1"/>
        <v>70.525000000000006</v>
      </c>
      <c r="I18" s="149">
        <f t="shared" si="2"/>
        <v>1.1754166666666668</v>
      </c>
      <c r="K18" s="81">
        <f t="shared" si="8"/>
        <v>169260</v>
      </c>
      <c r="L18" s="81">
        <f t="shared" si="9"/>
        <v>0</v>
      </c>
      <c r="M18" s="81">
        <f t="shared" si="10"/>
        <v>0</v>
      </c>
      <c r="N18" s="81">
        <f t="shared" si="11"/>
        <v>0</v>
      </c>
      <c r="P18" s="61">
        <f t="shared" si="3"/>
        <v>0</v>
      </c>
      <c r="Q18" s="86" t="str">
        <f t="shared" si="4"/>
        <v>Naib Qasid</v>
      </c>
      <c r="T18" s="61" t="s">
        <v>171</v>
      </c>
      <c r="V18" s="86" t="str">
        <f t="shared" si="5"/>
        <v>Naib Qasid</v>
      </c>
      <c r="W18" s="61">
        <f t="shared" si="6"/>
        <v>0</v>
      </c>
      <c r="X18" s="61">
        <f t="shared" si="7"/>
        <v>0</v>
      </c>
    </row>
    <row r="19" spans="3:24" hidden="1" x14ac:dyDescent="0.25">
      <c r="C19" s="150" t="s">
        <v>243</v>
      </c>
      <c r="D19" s="148">
        <v>0</v>
      </c>
      <c r="E19" s="148">
        <v>1</v>
      </c>
      <c r="F19" s="149">
        <f>VLOOKUP($E$4:$E$22,Pay_scale!$B$5:$H$23,7,FALSE)</f>
        <v>169260</v>
      </c>
      <c r="G19" s="149">
        <f t="shared" si="0"/>
        <v>14105</v>
      </c>
      <c r="H19" s="149">
        <f t="shared" si="1"/>
        <v>70.525000000000006</v>
      </c>
      <c r="I19" s="149">
        <f t="shared" si="2"/>
        <v>1.1754166666666668</v>
      </c>
      <c r="K19" s="81">
        <f t="shared" si="8"/>
        <v>169260</v>
      </c>
      <c r="L19" s="81">
        <f t="shared" si="9"/>
        <v>0</v>
      </c>
      <c r="M19" s="81">
        <f t="shared" si="10"/>
        <v>0</v>
      </c>
      <c r="N19" s="81">
        <f t="shared" si="11"/>
        <v>0</v>
      </c>
      <c r="P19" s="61">
        <f t="shared" si="3"/>
        <v>0</v>
      </c>
      <c r="Q19" s="86" t="str">
        <f t="shared" si="4"/>
        <v>Sweeper</v>
      </c>
      <c r="T19" s="61" t="s">
        <v>171</v>
      </c>
      <c r="V19" s="86" t="str">
        <f t="shared" si="5"/>
        <v>Sweeper</v>
      </c>
      <c r="W19" s="61">
        <f t="shared" si="6"/>
        <v>0</v>
      </c>
      <c r="X19" s="61">
        <f t="shared" si="7"/>
        <v>0</v>
      </c>
    </row>
    <row r="20" spans="3:24" hidden="1" x14ac:dyDescent="0.25">
      <c r="C20" s="150" t="s">
        <v>244</v>
      </c>
      <c r="D20" s="148">
        <v>0</v>
      </c>
      <c r="E20" s="148">
        <v>1</v>
      </c>
      <c r="F20" s="149">
        <f>VLOOKUP($E$4:$E$22,Pay_scale!$B$5:$H$23,7,FALSE)</f>
        <v>169260</v>
      </c>
      <c r="G20" s="149">
        <f t="shared" si="0"/>
        <v>14105</v>
      </c>
      <c r="H20" s="149">
        <f t="shared" si="1"/>
        <v>70.525000000000006</v>
      </c>
      <c r="I20" s="149">
        <f t="shared" si="2"/>
        <v>1.1754166666666668</v>
      </c>
      <c r="K20" s="81">
        <f t="shared" si="8"/>
        <v>169260</v>
      </c>
      <c r="L20" s="81">
        <f t="shared" si="9"/>
        <v>0</v>
      </c>
      <c r="M20" s="81">
        <f t="shared" si="10"/>
        <v>0</v>
      </c>
      <c r="N20" s="81">
        <f t="shared" si="11"/>
        <v>0</v>
      </c>
      <c r="P20" s="61">
        <f t="shared" si="3"/>
        <v>0</v>
      </c>
      <c r="Q20" s="86" t="str">
        <f t="shared" si="4"/>
        <v>Gardner</v>
      </c>
      <c r="T20" s="61" t="s">
        <v>171</v>
      </c>
      <c r="V20" s="86" t="str">
        <f t="shared" si="5"/>
        <v>Gardner</v>
      </c>
      <c r="W20" s="61">
        <f t="shared" si="6"/>
        <v>0</v>
      </c>
      <c r="X20" s="61">
        <f t="shared" si="7"/>
        <v>0</v>
      </c>
    </row>
    <row r="21" spans="3:24" hidden="1" x14ac:dyDescent="0.25">
      <c r="C21" s="150" t="s">
        <v>245</v>
      </c>
      <c r="D21" s="148">
        <v>0</v>
      </c>
      <c r="E21" s="148">
        <v>1</v>
      </c>
      <c r="F21" s="149">
        <f>VLOOKUP($E$4:$E$22,Pay_scale!$B$5:$H$23,7,FALSE)</f>
        <v>169260</v>
      </c>
      <c r="G21" s="149">
        <f t="shared" si="0"/>
        <v>14105</v>
      </c>
      <c r="H21" s="149">
        <f t="shared" si="1"/>
        <v>70.525000000000006</v>
      </c>
      <c r="I21" s="149">
        <f t="shared" si="2"/>
        <v>1.1754166666666668</v>
      </c>
      <c r="K21" s="81">
        <f t="shared" si="8"/>
        <v>169260</v>
      </c>
      <c r="L21" s="81">
        <f t="shared" si="9"/>
        <v>0</v>
      </c>
      <c r="M21" s="81">
        <f t="shared" si="10"/>
        <v>0</v>
      </c>
      <c r="N21" s="81">
        <f t="shared" si="11"/>
        <v>0</v>
      </c>
      <c r="P21" s="61">
        <f t="shared" si="3"/>
        <v>0</v>
      </c>
      <c r="Q21" s="86" t="str">
        <f t="shared" si="4"/>
        <v>Guard</v>
      </c>
      <c r="T21" s="61" t="s">
        <v>171</v>
      </c>
      <c r="V21" s="86" t="str">
        <f t="shared" si="5"/>
        <v>Guard</v>
      </c>
      <c r="W21" s="61">
        <f t="shared" si="6"/>
        <v>0</v>
      </c>
      <c r="X21" s="61">
        <f t="shared" si="7"/>
        <v>0</v>
      </c>
    </row>
    <row r="22" spans="3:24" hidden="1" x14ac:dyDescent="0.25">
      <c r="C22" s="150" t="s">
        <v>868</v>
      </c>
      <c r="D22" s="148">
        <v>0</v>
      </c>
      <c r="E22" s="148">
        <v>1</v>
      </c>
      <c r="F22" s="149">
        <f>VLOOKUP($E$4:$E$22,Pay_scale!$B$5:$H$23,7,FALSE)</f>
        <v>169260</v>
      </c>
      <c r="G22" s="149">
        <f t="shared" si="0"/>
        <v>14105</v>
      </c>
      <c r="H22" s="149">
        <f t="shared" si="1"/>
        <v>70.525000000000006</v>
      </c>
      <c r="I22" s="149">
        <f t="shared" si="2"/>
        <v>1.1754166666666668</v>
      </c>
      <c r="K22" s="81">
        <f t="shared" si="8"/>
        <v>169260</v>
      </c>
      <c r="L22" s="81">
        <f t="shared" si="9"/>
        <v>0</v>
      </c>
      <c r="M22" s="81">
        <f t="shared" si="10"/>
        <v>0</v>
      </c>
      <c r="N22" s="81">
        <f t="shared" si="11"/>
        <v>0</v>
      </c>
      <c r="P22" s="61">
        <f t="shared" si="3"/>
        <v>0</v>
      </c>
      <c r="Q22" s="86" t="str">
        <f t="shared" si="4"/>
        <v>Aya</v>
      </c>
      <c r="T22" s="61" t="s">
        <v>171</v>
      </c>
      <c r="V22" s="86" t="str">
        <f t="shared" si="5"/>
        <v>Aya</v>
      </c>
      <c r="W22" s="61">
        <f t="shared" si="6"/>
        <v>0</v>
      </c>
      <c r="X22" s="61">
        <f t="shared" si="7"/>
        <v>0</v>
      </c>
    </row>
    <row r="23" spans="3:24" hidden="1" x14ac:dyDescent="0.25">
      <c r="C23" s="147" t="s">
        <v>842</v>
      </c>
      <c r="D23" s="148">
        <v>0</v>
      </c>
      <c r="E23" s="148">
        <v>7</v>
      </c>
      <c r="F23" s="149">
        <f>VLOOKUP($E$4:$E$27,Pay_scale!$B$5:$H$23,7,FALSE)</f>
        <v>305598</v>
      </c>
      <c r="G23" s="149">
        <f t="shared" ref="G23:G27" si="12">F23/12</f>
        <v>25466.5</v>
      </c>
      <c r="H23" s="149">
        <f t="shared" ref="H23:H27" si="13">G23/$H$1</f>
        <v>127.3325</v>
      </c>
      <c r="I23" s="149">
        <f t="shared" ref="I23:I27" si="14">H23/$I$1</f>
        <v>2.1222083333333335</v>
      </c>
      <c r="K23" s="81"/>
      <c r="L23" s="81">
        <f t="shared" si="9"/>
        <v>0</v>
      </c>
      <c r="M23" s="81">
        <f t="shared" si="10"/>
        <v>0</v>
      </c>
      <c r="N23" s="81">
        <f t="shared" si="11"/>
        <v>0</v>
      </c>
      <c r="Q23" s="86" t="str">
        <f t="shared" si="4"/>
        <v>Senior Clark</v>
      </c>
      <c r="T23" s="61" t="s">
        <v>171</v>
      </c>
      <c r="V23" s="86" t="str">
        <f t="shared" si="5"/>
        <v>Senior Clark</v>
      </c>
      <c r="W23" s="61">
        <f t="shared" si="6"/>
        <v>0</v>
      </c>
      <c r="X23" s="61">
        <f t="shared" si="7"/>
        <v>0</v>
      </c>
    </row>
    <row r="24" spans="3:24" hidden="1" x14ac:dyDescent="0.25">
      <c r="C24" s="147" t="s">
        <v>843</v>
      </c>
      <c r="D24" s="148">
        <v>0</v>
      </c>
      <c r="E24" s="148">
        <v>5</v>
      </c>
      <c r="F24" s="149">
        <f>VLOOKUP($E$4:$E$27,Pay_scale!$B$5:$H$23,7,FALSE)</f>
        <v>263748</v>
      </c>
      <c r="G24" s="149">
        <f t="shared" si="12"/>
        <v>21979</v>
      </c>
      <c r="H24" s="149">
        <f t="shared" si="13"/>
        <v>109.895</v>
      </c>
      <c r="I24" s="149">
        <f t="shared" si="14"/>
        <v>1.8315833333333333</v>
      </c>
      <c r="K24" s="81"/>
      <c r="L24" s="81"/>
      <c r="M24" s="81"/>
      <c r="N24" s="81"/>
      <c r="Q24" s="86" t="str">
        <f t="shared" si="4"/>
        <v>Store keeper</v>
      </c>
      <c r="T24" s="61" t="s">
        <v>171</v>
      </c>
      <c r="V24" s="86" t="str">
        <f t="shared" si="5"/>
        <v>Store keeper</v>
      </c>
      <c r="W24" s="61">
        <f t="shared" si="6"/>
        <v>0</v>
      </c>
      <c r="X24" s="61">
        <f t="shared" si="7"/>
        <v>0</v>
      </c>
    </row>
    <row r="25" spans="3:24" hidden="1" x14ac:dyDescent="0.25">
      <c r="C25" s="147" t="s">
        <v>844</v>
      </c>
      <c r="D25" s="148">
        <v>0</v>
      </c>
      <c r="E25" s="148">
        <v>1</v>
      </c>
      <c r="F25" s="149">
        <f>VLOOKUP($E$4:$E$27,Pay_scale!$B$5:$H$23,7,FALSE)</f>
        <v>169260</v>
      </c>
      <c r="G25" s="149">
        <f t="shared" si="12"/>
        <v>14105</v>
      </c>
      <c r="H25" s="149">
        <f t="shared" si="13"/>
        <v>70.525000000000006</v>
      </c>
      <c r="I25" s="149">
        <f t="shared" si="14"/>
        <v>1.1754166666666668</v>
      </c>
      <c r="K25" s="81"/>
      <c r="L25" s="81"/>
      <c r="M25" s="81"/>
      <c r="N25" s="81"/>
      <c r="Q25" s="86" t="str">
        <f t="shared" si="4"/>
        <v>Ward servant</v>
      </c>
      <c r="T25" s="61" t="s">
        <v>171</v>
      </c>
      <c r="V25" s="86" t="str">
        <f t="shared" si="5"/>
        <v>Ward servant</v>
      </c>
      <c r="W25" s="61">
        <f t="shared" si="6"/>
        <v>0</v>
      </c>
      <c r="X25" s="61">
        <f t="shared" si="7"/>
        <v>0</v>
      </c>
    </row>
    <row r="26" spans="3:24" hidden="1" x14ac:dyDescent="0.25">
      <c r="C26" s="147" t="s">
        <v>845</v>
      </c>
      <c r="D26" s="148">
        <v>0</v>
      </c>
      <c r="E26" s="148">
        <v>11</v>
      </c>
      <c r="F26" s="149">
        <f>VLOOKUP($E$4:$E$27,Pay_scale!$B$5:$H$23,7,FALSE)</f>
        <v>400086</v>
      </c>
      <c r="G26" s="149">
        <f t="shared" si="12"/>
        <v>33340.5</v>
      </c>
      <c r="H26" s="149">
        <f t="shared" si="13"/>
        <v>166.70249999999999</v>
      </c>
      <c r="I26" s="149">
        <f t="shared" si="14"/>
        <v>2.7783749999999996</v>
      </c>
      <c r="K26" s="81"/>
      <c r="L26" s="81"/>
      <c r="M26" s="81"/>
      <c r="N26" s="81"/>
      <c r="Q26" s="86" t="str">
        <f t="shared" si="4"/>
        <v>Accountant</v>
      </c>
      <c r="T26" s="61" t="s">
        <v>171</v>
      </c>
      <c r="V26" s="86" t="str">
        <f t="shared" si="5"/>
        <v>Accountant</v>
      </c>
      <c r="W26" s="61">
        <f t="shared" si="6"/>
        <v>0</v>
      </c>
      <c r="X26" s="61">
        <f t="shared" si="7"/>
        <v>0</v>
      </c>
    </row>
    <row r="27" spans="3:24" hidden="1" x14ac:dyDescent="0.25">
      <c r="C27" s="147" t="s">
        <v>846</v>
      </c>
      <c r="D27" s="148">
        <v>0</v>
      </c>
      <c r="E27" s="148">
        <v>9</v>
      </c>
      <c r="F27" s="149">
        <f>VLOOKUP($E$4:$E$27,Pay_scale!$B$5:$H$23,7,FALSE)</f>
        <v>350145</v>
      </c>
      <c r="G27" s="149">
        <f t="shared" si="12"/>
        <v>29178.75</v>
      </c>
      <c r="H27" s="149">
        <f t="shared" si="13"/>
        <v>145.89375000000001</v>
      </c>
      <c r="I27" s="149">
        <f t="shared" si="14"/>
        <v>2.4315625000000001</v>
      </c>
      <c r="K27" s="81"/>
      <c r="L27" s="81"/>
      <c r="M27" s="81"/>
      <c r="N27" s="81"/>
      <c r="Q27" s="86" t="str">
        <f t="shared" si="4"/>
        <v>OT assistant</v>
      </c>
      <c r="T27" s="61" t="s">
        <v>171</v>
      </c>
      <c r="V27" s="86" t="str">
        <f t="shared" si="5"/>
        <v>OT assistant</v>
      </c>
      <c r="W27" s="61">
        <f t="shared" si="6"/>
        <v>0</v>
      </c>
      <c r="X27" s="61">
        <f t="shared" si="7"/>
        <v>0</v>
      </c>
    </row>
    <row r="28" spans="3:24" x14ac:dyDescent="0.25">
      <c r="C28" s="146"/>
      <c r="D28" s="146"/>
      <c r="E28" s="146"/>
      <c r="F28" s="146"/>
      <c r="G28" s="146"/>
      <c r="H28" s="146"/>
      <c r="I28" s="146"/>
      <c r="N28" s="81">
        <f>SUM(N16:N23)</f>
        <v>0</v>
      </c>
      <c r="P28" s="61">
        <f>SUM(P4:P22)</f>
        <v>263748</v>
      </c>
      <c r="V28" s="86"/>
    </row>
    <row r="30" spans="3:24" x14ac:dyDescent="0.25">
      <c r="C30" s="243" t="s">
        <v>570</v>
      </c>
      <c r="D30" s="243"/>
      <c r="E30" s="243"/>
      <c r="F30" s="152">
        <f>SUMIF(T4:T27,"I",W4:W27)</f>
        <v>0</v>
      </c>
      <c r="G30" s="152">
        <f>F30/12</f>
        <v>0</v>
      </c>
      <c r="H30" s="152">
        <f>G30/200</f>
        <v>0</v>
      </c>
      <c r="I30" s="152">
        <f>H30/60</f>
        <v>0</v>
      </c>
    </row>
    <row r="31" spans="3:24" x14ac:dyDescent="0.25">
      <c r="C31" s="243" t="s">
        <v>572</v>
      </c>
      <c r="D31" s="243"/>
      <c r="E31" s="243"/>
      <c r="F31" s="153">
        <f>SUMIF(T4:T27,"d",W4:W27)</f>
        <v>263748</v>
      </c>
      <c r="G31" s="152">
        <f>F31/12</f>
        <v>21979</v>
      </c>
      <c r="H31" s="152">
        <f>G31/200</f>
        <v>109.895</v>
      </c>
      <c r="I31" s="152">
        <f>H31/60</f>
        <v>1.8315833333333333</v>
      </c>
    </row>
    <row r="32" spans="3:24" x14ac:dyDescent="0.25">
      <c r="C32" s="243" t="s">
        <v>573</v>
      </c>
      <c r="D32" s="243"/>
      <c r="E32" s="243"/>
      <c r="F32" s="155">
        <f>F30/F31</f>
        <v>0</v>
      </c>
      <c r="G32" s="154"/>
      <c r="H32" s="154"/>
      <c r="I32" s="154"/>
    </row>
    <row r="33" spans="6:6" x14ac:dyDescent="0.25">
      <c r="F33" s="81"/>
    </row>
    <row r="34" spans="6:6" x14ac:dyDescent="0.25">
      <c r="F34" s="114">
        <f>P28</f>
        <v>263748</v>
      </c>
    </row>
  </sheetData>
  <sheetProtection algorithmName="SHA-512" hashValue="vkvuwPUWGfuBpNCwERcIkGBmkitYpd196XOw480panIbA0aYpy9h6LUHkGRT84u/pL+lJgXUaAyal1mdhS3oeQ==" saltValue="3XPxyYqE/i2sWm0fon9l5g==" spinCount="100000" sheet="1" objects="1" scenarios="1"/>
  <mergeCells count="8">
    <mergeCell ref="C30:E30"/>
    <mergeCell ref="C31:E31"/>
    <mergeCell ref="C32:E32"/>
    <mergeCell ref="C2:C3"/>
    <mergeCell ref="V2:V3"/>
    <mergeCell ref="F2:I2"/>
    <mergeCell ref="E2:E3"/>
    <mergeCell ref="D2:D3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28"/>
  <sheetViews>
    <sheetView showGridLines="0" zoomScaleNormal="100" workbookViewId="0">
      <selection activeCell="N13" sqref="N13"/>
    </sheetView>
  </sheetViews>
  <sheetFormatPr defaultRowHeight="15" x14ac:dyDescent="0.25"/>
  <cols>
    <col min="2" max="2" width="4.28515625" bestFit="1" customWidth="1"/>
    <col min="3" max="3" width="9.5703125" bestFit="1" customWidth="1"/>
    <col min="4" max="4" width="10.5703125" bestFit="1" customWidth="1"/>
    <col min="5" max="5" width="12" bestFit="1" customWidth="1"/>
    <col min="6" max="6" width="11.28515625" bestFit="1" customWidth="1"/>
    <col min="7" max="7" width="10.5703125" bestFit="1" customWidth="1"/>
    <col min="8" max="8" width="12.140625" bestFit="1" customWidth="1"/>
    <col min="16" max="17" width="0" hidden="1" customWidth="1"/>
  </cols>
  <sheetData>
    <row r="2" spans="2:30" x14ac:dyDescent="0.25">
      <c r="B2" s="247" t="s">
        <v>239</v>
      </c>
      <c r="C2" s="247"/>
      <c r="D2" s="247"/>
      <c r="E2" s="247"/>
      <c r="F2" s="247"/>
      <c r="G2" s="247"/>
      <c r="H2" s="247"/>
    </row>
    <row r="3" spans="2:30" x14ac:dyDescent="0.25">
      <c r="B3" s="250" t="s">
        <v>228</v>
      </c>
      <c r="C3" s="250" t="s">
        <v>230</v>
      </c>
      <c r="D3" s="250" t="s">
        <v>231</v>
      </c>
      <c r="E3" s="250" t="s">
        <v>232</v>
      </c>
      <c r="F3" s="177">
        <v>0.55000000000000004</v>
      </c>
      <c r="G3" s="248" t="s">
        <v>233</v>
      </c>
      <c r="H3" s="249"/>
      <c r="I3" s="13"/>
      <c r="J3" s="13"/>
      <c r="K3" s="13"/>
      <c r="L3" s="13"/>
      <c r="M3" s="13"/>
      <c r="N3" s="13"/>
      <c r="O3" s="13"/>
      <c r="P3" s="13" t="s">
        <v>234</v>
      </c>
      <c r="Q3" s="13" t="s">
        <v>229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x14ac:dyDescent="0.25">
      <c r="B4" s="251"/>
      <c r="C4" s="251"/>
      <c r="D4" s="251"/>
      <c r="E4" s="251"/>
      <c r="F4" s="178" t="s">
        <v>235</v>
      </c>
      <c r="G4" s="178" t="s">
        <v>236</v>
      </c>
      <c r="H4" s="178" t="s">
        <v>237</v>
      </c>
      <c r="I4" s="13"/>
      <c r="J4" s="13"/>
      <c r="K4" s="13"/>
      <c r="L4" s="13"/>
      <c r="M4" s="13"/>
      <c r="N4" s="13"/>
      <c r="O4" s="13"/>
      <c r="P4" s="13">
        <v>250</v>
      </c>
      <c r="Q4" s="13">
        <v>2475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238</v>
      </c>
    </row>
    <row r="5" spans="2:30" x14ac:dyDescent="0.25">
      <c r="B5" s="18">
        <v>1</v>
      </c>
      <c r="C5" s="14">
        <v>6600</v>
      </c>
      <c r="D5" s="14">
        <v>11600</v>
      </c>
      <c r="E5" s="14">
        <f>AVERAGE(C5:D5)</f>
        <v>9100</v>
      </c>
      <c r="F5" s="14">
        <f>E5*$F$3</f>
        <v>5005</v>
      </c>
      <c r="G5" s="14">
        <f>E5+F5</f>
        <v>14105</v>
      </c>
      <c r="H5" s="14">
        <f>G5*12</f>
        <v>169260</v>
      </c>
      <c r="I5" s="13"/>
      <c r="J5" s="13"/>
      <c r="K5" s="13"/>
      <c r="L5" s="13"/>
      <c r="M5" s="13"/>
      <c r="N5" s="13"/>
      <c r="O5" s="13"/>
      <c r="P5" s="13">
        <v>290</v>
      </c>
      <c r="Q5" s="13">
        <v>2535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 t="s">
        <v>238</v>
      </c>
    </row>
    <row r="6" spans="2:30" x14ac:dyDescent="0.25">
      <c r="B6" s="18">
        <v>2</v>
      </c>
      <c r="C6" s="14">
        <v>6800</v>
      </c>
      <c r="D6" s="14">
        <v>15210</v>
      </c>
      <c r="E6" s="14">
        <f t="shared" ref="E6:E23" si="0">AVERAGE(C6:D6)</f>
        <v>11005</v>
      </c>
      <c r="F6" s="14">
        <f t="shared" ref="F6:F23" si="1">E6*$F$3</f>
        <v>6052.7500000000009</v>
      </c>
      <c r="G6" s="14">
        <f t="shared" ref="G6:G23" si="2">E6+F6</f>
        <v>17057.75</v>
      </c>
      <c r="H6" s="14">
        <f t="shared" ref="H6:H23" si="3">G6*12</f>
        <v>204693</v>
      </c>
      <c r="I6" s="13"/>
      <c r="J6" s="13"/>
      <c r="K6" s="13"/>
      <c r="L6" s="13"/>
      <c r="M6" s="13"/>
      <c r="N6" s="13"/>
      <c r="O6" s="13"/>
      <c r="P6" s="13">
        <v>340</v>
      </c>
      <c r="Q6" s="13">
        <v>2625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 t="s">
        <v>238</v>
      </c>
    </row>
    <row r="7" spans="2:30" x14ac:dyDescent="0.25">
      <c r="B7" s="18">
        <v>3</v>
      </c>
      <c r="C7" s="14">
        <v>7100</v>
      </c>
      <c r="D7" s="14">
        <v>16960</v>
      </c>
      <c r="E7" s="14">
        <f t="shared" si="0"/>
        <v>12030</v>
      </c>
      <c r="F7" s="14">
        <f t="shared" si="1"/>
        <v>6616.5000000000009</v>
      </c>
      <c r="G7" s="14">
        <f t="shared" si="2"/>
        <v>18646.5</v>
      </c>
      <c r="H7" s="14">
        <f t="shared" si="3"/>
        <v>223758</v>
      </c>
      <c r="I7" s="13"/>
      <c r="J7" s="13"/>
      <c r="K7" s="13"/>
      <c r="L7" s="13"/>
      <c r="M7" s="13"/>
      <c r="N7" s="13"/>
      <c r="O7" s="13"/>
      <c r="P7" s="13">
        <v>390</v>
      </c>
      <c r="Q7" s="13">
        <v>2715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 t="s">
        <v>238</v>
      </c>
    </row>
    <row r="8" spans="2:30" x14ac:dyDescent="0.25">
      <c r="B8" s="18">
        <v>4</v>
      </c>
      <c r="C8" s="14">
        <v>7400</v>
      </c>
      <c r="D8" s="14">
        <v>18710</v>
      </c>
      <c r="E8" s="14">
        <f t="shared" si="0"/>
        <v>13055</v>
      </c>
      <c r="F8" s="14">
        <f t="shared" si="1"/>
        <v>7180.2500000000009</v>
      </c>
      <c r="G8" s="14">
        <f t="shared" si="2"/>
        <v>20235.25</v>
      </c>
      <c r="H8" s="14">
        <f t="shared" si="3"/>
        <v>242823</v>
      </c>
      <c r="I8" s="13"/>
      <c r="J8" s="13"/>
      <c r="K8" s="13"/>
      <c r="L8" s="13"/>
      <c r="M8" s="13"/>
      <c r="N8" s="13"/>
      <c r="O8" s="13"/>
      <c r="P8" s="13">
        <v>440</v>
      </c>
      <c r="Q8" s="13">
        <v>2830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 t="s">
        <v>238</v>
      </c>
    </row>
    <row r="9" spans="2:30" x14ac:dyDescent="0.25">
      <c r="B9" s="18">
        <v>5</v>
      </c>
      <c r="C9" s="14">
        <v>7800</v>
      </c>
      <c r="D9" s="14">
        <v>20560</v>
      </c>
      <c r="E9" s="14">
        <f t="shared" si="0"/>
        <v>14180</v>
      </c>
      <c r="F9" s="14">
        <f t="shared" si="1"/>
        <v>7799.0000000000009</v>
      </c>
      <c r="G9" s="14">
        <f t="shared" si="2"/>
        <v>21979</v>
      </c>
      <c r="H9" s="14">
        <f t="shared" si="3"/>
        <v>263748</v>
      </c>
      <c r="I9" s="13"/>
      <c r="J9" s="13"/>
      <c r="K9" s="13"/>
      <c r="L9" s="13"/>
      <c r="M9" s="13"/>
      <c r="N9" s="13"/>
      <c r="O9" s="13"/>
      <c r="P9" s="13">
        <v>490</v>
      </c>
      <c r="Q9" s="13">
        <v>2945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 t="s">
        <v>238</v>
      </c>
    </row>
    <row r="10" spans="2:30" x14ac:dyDescent="0.25">
      <c r="B10" s="18">
        <v>6</v>
      </c>
      <c r="C10" s="14">
        <v>8200</v>
      </c>
      <c r="D10" s="14">
        <v>22410</v>
      </c>
      <c r="E10" s="14">
        <f t="shared" si="0"/>
        <v>15305</v>
      </c>
      <c r="F10" s="14">
        <f t="shared" si="1"/>
        <v>8417.75</v>
      </c>
      <c r="G10" s="14">
        <f t="shared" si="2"/>
        <v>23722.75</v>
      </c>
      <c r="H10" s="14">
        <f t="shared" si="3"/>
        <v>284673</v>
      </c>
      <c r="I10" s="13"/>
      <c r="J10" s="13"/>
      <c r="K10" s="13"/>
      <c r="L10" s="13"/>
      <c r="M10" s="13"/>
      <c r="N10" s="13"/>
      <c r="O10" s="13"/>
      <c r="P10" s="13">
        <v>540</v>
      </c>
      <c r="Q10" s="13">
        <v>3060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 t="s">
        <v>238</v>
      </c>
    </row>
    <row r="11" spans="2:30" x14ac:dyDescent="0.25">
      <c r="B11" s="18">
        <v>7</v>
      </c>
      <c r="C11" s="14">
        <v>8600</v>
      </c>
      <c r="D11" s="14">
        <v>24260</v>
      </c>
      <c r="E11" s="14">
        <f t="shared" si="0"/>
        <v>16430</v>
      </c>
      <c r="F11" s="14">
        <f t="shared" si="1"/>
        <v>9036.5</v>
      </c>
      <c r="G11" s="14">
        <f t="shared" si="2"/>
        <v>25466.5</v>
      </c>
      <c r="H11" s="14">
        <f t="shared" si="3"/>
        <v>305598</v>
      </c>
      <c r="I11" s="13"/>
      <c r="J11" s="13"/>
      <c r="K11" s="13"/>
      <c r="L11" s="13"/>
      <c r="M11" s="13"/>
      <c r="N11" s="13"/>
      <c r="O11" s="13"/>
      <c r="P11" s="13">
        <v>600</v>
      </c>
      <c r="Q11" s="13">
        <v>3175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 t="s">
        <v>238</v>
      </c>
    </row>
    <row r="12" spans="2:30" x14ac:dyDescent="0.25">
      <c r="B12" s="18">
        <v>8</v>
      </c>
      <c r="C12" s="14">
        <v>9000</v>
      </c>
      <c r="D12" s="14">
        <v>26400</v>
      </c>
      <c r="E12" s="14">
        <f t="shared" si="0"/>
        <v>17700</v>
      </c>
      <c r="F12" s="14">
        <f t="shared" si="1"/>
        <v>9735</v>
      </c>
      <c r="G12" s="14">
        <f t="shared" si="2"/>
        <v>27435</v>
      </c>
      <c r="H12" s="14">
        <f t="shared" si="3"/>
        <v>329220</v>
      </c>
      <c r="I12" s="13"/>
      <c r="J12" s="13"/>
      <c r="K12" s="13"/>
      <c r="L12" s="13"/>
      <c r="M12" s="13"/>
      <c r="N12" s="13"/>
      <c r="O12" s="13"/>
      <c r="P12" s="13">
        <v>650</v>
      </c>
      <c r="Q12" s="13">
        <v>3290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 t="s">
        <v>238</v>
      </c>
    </row>
    <row r="13" spans="2:30" x14ac:dyDescent="0.25">
      <c r="B13" s="18">
        <v>9</v>
      </c>
      <c r="C13" s="14">
        <v>9400</v>
      </c>
      <c r="D13" s="14">
        <v>28250</v>
      </c>
      <c r="E13" s="14">
        <f t="shared" si="0"/>
        <v>18825</v>
      </c>
      <c r="F13" s="14">
        <f t="shared" si="1"/>
        <v>10353.75</v>
      </c>
      <c r="G13" s="14">
        <f t="shared" si="2"/>
        <v>29178.75</v>
      </c>
      <c r="H13" s="14">
        <f t="shared" si="3"/>
        <v>350145</v>
      </c>
      <c r="I13" s="13"/>
      <c r="J13" s="13"/>
      <c r="K13" s="13"/>
      <c r="L13" s="13"/>
      <c r="M13" s="13"/>
      <c r="N13" s="13"/>
      <c r="O13" s="13"/>
      <c r="P13" s="13">
        <v>720</v>
      </c>
      <c r="Q13" s="13">
        <v>3410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 t="s">
        <v>238</v>
      </c>
    </row>
    <row r="14" spans="2:30" x14ac:dyDescent="0.25">
      <c r="B14" s="18">
        <v>10</v>
      </c>
      <c r="C14" s="14">
        <v>9800</v>
      </c>
      <c r="D14" s="14">
        <v>30680</v>
      </c>
      <c r="E14" s="14">
        <f t="shared" si="0"/>
        <v>20240</v>
      </c>
      <c r="F14" s="14">
        <f t="shared" si="1"/>
        <v>11132</v>
      </c>
      <c r="G14" s="14">
        <f t="shared" si="2"/>
        <v>31372</v>
      </c>
      <c r="H14" s="14">
        <f t="shared" si="3"/>
        <v>376464</v>
      </c>
      <c r="I14" s="13"/>
      <c r="J14" s="13"/>
      <c r="K14" s="13"/>
      <c r="L14" s="13"/>
      <c r="M14" s="13"/>
      <c r="N14" s="13"/>
      <c r="O14" s="13"/>
      <c r="P14" s="13">
        <v>780</v>
      </c>
      <c r="Q14" s="13">
        <v>3530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 t="s">
        <v>238</v>
      </c>
    </row>
    <row r="15" spans="2:30" x14ac:dyDescent="0.25">
      <c r="B15" s="18">
        <v>11</v>
      </c>
      <c r="C15" s="14">
        <v>10200</v>
      </c>
      <c r="D15" s="14">
        <v>32820</v>
      </c>
      <c r="E15" s="14">
        <f t="shared" si="0"/>
        <v>21510</v>
      </c>
      <c r="F15" s="14">
        <f t="shared" si="1"/>
        <v>11830.500000000002</v>
      </c>
      <c r="G15" s="14">
        <f t="shared" si="2"/>
        <v>33340.5</v>
      </c>
      <c r="H15" s="14">
        <f t="shared" si="3"/>
        <v>400086</v>
      </c>
      <c r="I15" s="13"/>
      <c r="J15" s="13"/>
      <c r="K15" s="13"/>
      <c r="L15" s="13"/>
      <c r="M15" s="13"/>
      <c r="N15" s="13"/>
      <c r="O15" s="13"/>
      <c r="P15" s="13">
        <v>850</v>
      </c>
      <c r="Q15" s="13">
        <v>3750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 t="s">
        <v>238</v>
      </c>
    </row>
    <row r="16" spans="2:30" x14ac:dyDescent="0.25">
      <c r="B16" s="18">
        <v>12</v>
      </c>
      <c r="C16" s="14">
        <v>11000</v>
      </c>
      <c r="D16" s="14">
        <v>35650</v>
      </c>
      <c r="E16" s="14">
        <f t="shared" si="0"/>
        <v>23325</v>
      </c>
      <c r="F16" s="14">
        <f t="shared" si="1"/>
        <v>12828.750000000002</v>
      </c>
      <c r="G16" s="14">
        <f t="shared" si="2"/>
        <v>36153.75</v>
      </c>
      <c r="H16" s="14">
        <f t="shared" si="3"/>
        <v>433845</v>
      </c>
      <c r="I16" s="13"/>
      <c r="J16" s="13"/>
      <c r="K16" s="13"/>
      <c r="L16" s="13"/>
      <c r="M16" s="13"/>
      <c r="N16" s="13"/>
      <c r="O16" s="13"/>
      <c r="P16" s="13">
        <v>920</v>
      </c>
      <c r="Q16" s="13">
        <v>4025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 t="s">
        <v>238</v>
      </c>
    </row>
    <row r="17" spans="2:30" x14ac:dyDescent="0.25">
      <c r="B17" s="18">
        <v>13</v>
      </c>
      <c r="C17" s="14">
        <v>12000</v>
      </c>
      <c r="D17" s="14">
        <v>38680</v>
      </c>
      <c r="E17" s="14">
        <f t="shared" si="0"/>
        <v>25340</v>
      </c>
      <c r="F17" s="14">
        <f t="shared" si="1"/>
        <v>13937.000000000002</v>
      </c>
      <c r="G17" s="14">
        <f t="shared" si="2"/>
        <v>39277</v>
      </c>
      <c r="H17" s="14">
        <f t="shared" si="3"/>
        <v>471324</v>
      </c>
      <c r="I17" s="13"/>
      <c r="J17" s="13"/>
      <c r="K17" s="13"/>
      <c r="L17" s="13"/>
      <c r="M17" s="13"/>
      <c r="N17" s="13"/>
      <c r="O17" s="13"/>
      <c r="P17" s="13">
        <v>1000</v>
      </c>
      <c r="Q17" s="13">
        <v>4305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 t="s">
        <v>238</v>
      </c>
    </row>
    <row r="18" spans="2:30" x14ac:dyDescent="0.25">
      <c r="B18" s="18">
        <v>14</v>
      </c>
      <c r="C18" s="14">
        <v>13200</v>
      </c>
      <c r="D18" s="14">
        <v>42000</v>
      </c>
      <c r="E18" s="14">
        <f t="shared" si="0"/>
        <v>27600</v>
      </c>
      <c r="F18" s="14">
        <f t="shared" si="1"/>
        <v>15180.000000000002</v>
      </c>
      <c r="G18" s="14">
        <f t="shared" si="2"/>
        <v>42780</v>
      </c>
      <c r="H18" s="14">
        <f t="shared" si="3"/>
        <v>513360</v>
      </c>
      <c r="I18" s="13"/>
      <c r="J18" s="13"/>
      <c r="K18" s="13"/>
      <c r="L18" s="13"/>
      <c r="M18" s="13"/>
      <c r="N18" s="13"/>
      <c r="O18" s="13"/>
      <c r="P18" s="13">
        <v>1090</v>
      </c>
      <c r="Q18" s="13">
        <v>4600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 t="s">
        <v>238</v>
      </c>
    </row>
    <row r="19" spans="2:30" x14ac:dyDescent="0.25">
      <c r="B19" s="18">
        <v>15</v>
      </c>
      <c r="C19" s="14">
        <v>14600</v>
      </c>
      <c r="D19" s="14">
        <v>46210</v>
      </c>
      <c r="E19" s="14">
        <f t="shared" si="0"/>
        <v>30405</v>
      </c>
      <c r="F19" s="14">
        <f t="shared" si="1"/>
        <v>16722.75</v>
      </c>
      <c r="G19" s="14">
        <f t="shared" si="2"/>
        <v>47127.75</v>
      </c>
      <c r="H19" s="14">
        <f t="shared" si="3"/>
        <v>565533</v>
      </c>
      <c r="I19" s="13"/>
      <c r="J19" s="13"/>
      <c r="K19" s="13"/>
      <c r="L19" s="13"/>
      <c r="M19" s="13"/>
      <c r="N19" s="13"/>
      <c r="O19" s="13"/>
      <c r="P19" s="13">
        <v>1320</v>
      </c>
      <c r="Q19" s="13">
        <v>5400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 t="s">
        <v>238</v>
      </c>
    </row>
    <row r="20" spans="2:30" x14ac:dyDescent="0.25">
      <c r="B20" s="18">
        <v>16</v>
      </c>
      <c r="C20" s="14">
        <v>18000</v>
      </c>
      <c r="D20" s="14">
        <v>56280</v>
      </c>
      <c r="E20" s="14">
        <f t="shared" si="0"/>
        <v>37140</v>
      </c>
      <c r="F20" s="14">
        <f t="shared" si="1"/>
        <v>20427</v>
      </c>
      <c r="G20" s="14">
        <f t="shared" si="2"/>
        <v>57567</v>
      </c>
      <c r="H20" s="14">
        <f t="shared" si="3"/>
        <v>690804</v>
      </c>
      <c r="I20" s="13"/>
      <c r="J20" s="13"/>
      <c r="K20" s="13"/>
      <c r="L20" s="13"/>
      <c r="M20" s="13"/>
      <c r="N20" s="13"/>
      <c r="O20" s="13"/>
      <c r="P20" s="13">
        <v>1800</v>
      </c>
      <c r="Q20" s="13">
        <v>8600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 t="s">
        <v>238</v>
      </c>
    </row>
    <row r="21" spans="2:30" x14ac:dyDescent="0.25">
      <c r="B21" s="18">
        <v>17</v>
      </c>
      <c r="C21" s="14">
        <v>26400</v>
      </c>
      <c r="D21" s="14">
        <v>60600</v>
      </c>
      <c r="E21" s="14">
        <f t="shared" si="0"/>
        <v>43500</v>
      </c>
      <c r="F21" s="14">
        <f t="shared" si="1"/>
        <v>23925.000000000004</v>
      </c>
      <c r="G21" s="14">
        <f t="shared" si="2"/>
        <v>67425</v>
      </c>
      <c r="H21" s="14">
        <f t="shared" si="3"/>
        <v>809100</v>
      </c>
      <c r="I21" s="13"/>
      <c r="J21" s="13"/>
      <c r="K21" s="13"/>
      <c r="L21" s="13"/>
      <c r="M21" s="13"/>
      <c r="N21" s="13"/>
      <c r="O21" s="13"/>
      <c r="P21" s="13">
        <v>2260</v>
      </c>
      <c r="Q21" s="13">
        <v>10750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x14ac:dyDescent="0.25">
      <c r="B22" s="18">
        <v>18</v>
      </c>
      <c r="C22" s="14">
        <v>34000</v>
      </c>
      <c r="D22" s="14">
        <v>76940</v>
      </c>
      <c r="E22" s="14">
        <f t="shared" si="0"/>
        <v>55470</v>
      </c>
      <c r="F22" s="14">
        <f t="shared" si="1"/>
        <v>30508.500000000004</v>
      </c>
      <c r="G22" s="14">
        <f t="shared" si="2"/>
        <v>85978.5</v>
      </c>
      <c r="H22" s="14">
        <f t="shared" si="3"/>
        <v>1031742</v>
      </c>
      <c r="I22" s="13"/>
      <c r="J22" s="13"/>
      <c r="K22" s="13"/>
      <c r="L22" s="13"/>
      <c r="M22" s="13"/>
      <c r="N22" s="13"/>
      <c r="O22" s="13"/>
      <c r="P22" s="13">
        <v>2710</v>
      </c>
      <c r="Q22" s="13">
        <v>16300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2:30" x14ac:dyDescent="0.25">
      <c r="B23" s="18">
        <v>19</v>
      </c>
      <c r="C23" s="14">
        <v>49300</v>
      </c>
      <c r="D23" s="14">
        <v>110790</v>
      </c>
      <c r="E23" s="14">
        <f t="shared" si="0"/>
        <v>80045</v>
      </c>
      <c r="F23" s="14">
        <f t="shared" si="1"/>
        <v>44024.75</v>
      </c>
      <c r="G23" s="14">
        <f t="shared" si="2"/>
        <v>124069.75</v>
      </c>
      <c r="H23" s="14">
        <f t="shared" si="3"/>
        <v>1488837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2:30" x14ac:dyDescent="0.25">
      <c r="B24" s="170"/>
      <c r="C24" s="170"/>
      <c r="D24" s="170"/>
      <c r="E24" s="170"/>
      <c r="F24" s="170"/>
      <c r="G24" s="170"/>
      <c r="H24" s="170"/>
    </row>
    <row r="28" spans="2:30" x14ac:dyDescent="0.25">
      <c r="T28" s="58"/>
    </row>
  </sheetData>
  <sheetProtection algorithmName="SHA-512" hashValue="5OWxnpEKomqLlHMsk8xoHaD+2xRkj4Jhmvae/2qXrOlQXGpXFp8pGNteNAWLbZ/SF0QZRdSuOT8TEuVDOxF/Ng==" saltValue="6uEVvF/mCh2JYWeQEGnx3A==" spinCount="100000" sheet="1" objects="1" scenarios="1"/>
  <mergeCells count="6">
    <mergeCell ref="B2:H2"/>
    <mergeCell ref="G3:H3"/>
    <mergeCell ref="E3:E4"/>
    <mergeCell ref="D3:D4"/>
    <mergeCell ref="C3:C4"/>
    <mergeCell ref="B3:B4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44"/>
  <sheetViews>
    <sheetView workbookViewId="0">
      <selection activeCell="X53" sqref="X53"/>
    </sheetView>
  </sheetViews>
  <sheetFormatPr defaultRowHeight="15" x14ac:dyDescent="0.25"/>
  <cols>
    <col min="1" max="1" width="33" style="19" bestFit="1" customWidth="1"/>
    <col min="2" max="2" width="11.5703125" style="19" bestFit="1" customWidth="1"/>
    <col min="3" max="3" width="11.5703125" style="21" bestFit="1" customWidth="1"/>
    <col min="4" max="16384" width="9.140625" style="19"/>
  </cols>
  <sheetData>
    <row r="2" spans="1:4" x14ac:dyDescent="0.25">
      <c r="A2" s="20" t="s">
        <v>850</v>
      </c>
      <c r="B2" s="19">
        <v>1.1499999999999999</v>
      </c>
    </row>
    <row r="4" spans="1:4" x14ac:dyDescent="0.25">
      <c r="A4" s="19" t="s">
        <v>851</v>
      </c>
      <c r="B4" s="19">
        <v>2555</v>
      </c>
      <c r="D4" s="19" t="s">
        <v>852</v>
      </c>
    </row>
    <row r="8" spans="1:4" x14ac:dyDescent="0.25">
      <c r="A8" s="20" t="s">
        <v>0</v>
      </c>
      <c r="B8" s="40" t="s">
        <v>539</v>
      </c>
    </row>
    <row r="9" spans="1:4" x14ac:dyDescent="0.25">
      <c r="A9" s="19" t="s">
        <v>540</v>
      </c>
      <c r="B9" s="22">
        <f>96*1000000</f>
        <v>96000000</v>
      </c>
      <c r="C9" s="21">
        <f>B9*0.7</f>
        <v>67200000</v>
      </c>
    </row>
    <row r="10" spans="1:4" x14ac:dyDescent="0.25">
      <c r="B10" s="22"/>
    </row>
    <row r="11" spans="1:4" x14ac:dyDescent="0.25">
      <c r="A11" s="19" t="s">
        <v>853</v>
      </c>
      <c r="B11" s="22">
        <f>B9*0.3</f>
        <v>28800000</v>
      </c>
    </row>
    <row r="12" spans="1:4" x14ac:dyDescent="0.25">
      <c r="A12" s="19" t="s">
        <v>854</v>
      </c>
      <c r="B12" s="22">
        <f>B9*0.7</f>
        <v>67200000</v>
      </c>
    </row>
    <row r="13" spans="1:4" x14ac:dyDescent="0.25">
      <c r="B13" s="22"/>
    </row>
    <row r="14" spans="1:4" x14ac:dyDescent="0.25">
      <c r="A14" s="19" t="s">
        <v>541</v>
      </c>
      <c r="B14" s="21">
        <f>B9*0.5058</f>
        <v>48556800</v>
      </c>
      <c r="C14" s="21">
        <f>B14*0.7</f>
        <v>33989760</v>
      </c>
      <c r="D14" s="252" t="s">
        <v>855</v>
      </c>
    </row>
    <row r="15" spans="1:4" x14ac:dyDescent="0.25">
      <c r="A15" s="19" t="s">
        <v>542</v>
      </c>
      <c r="B15" s="21">
        <f>B9-B14</f>
        <v>47443200</v>
      </c>
      <c r="C15" s="21">
        <f>B15*0.7</f>
        <v>33210239.999999996</v>
      </c>
      <c r="D15" s="252"/>
    </row>
    <row r="16" spans="1:4" x14ac:dyDescent="0.25">
      <c r="B16" s="21"/>
      <c r="D16" s="252"/>
    </row>
    <row r="17" spans="1:5" x14ac:dyDescent="0.25">
      <c r="A17" s="19" t="s">
        <v>546</v>
      </c>
      <c r="B17" s="21">
        <f>B15*51%</f>
        <v>24196032</v>
      </c>
      <c r="C17" s="21">
        <f>B17*0.7</f>
        <v>16937222.399999999</v>
      </c>
      <c r="D17" s="252"/>
    </row>
    <row r="18" spans="1:5" x14ac:dyDescent="0.25">
      <c r="A18" s="19" t="s">
        <v>543</v>
      </c>
      <c r="B18" s="21">
        <f>B17*0.59</f>
        <v>14275658.879999999</v>
      </c>
      <c r="C18" s="21">
        <f>B18*0.7</f>
        <v>9992961.2159999982</v>
      </c>
      <c r="D18" s="252"/>
      <c r="E18" s="41">
        <f>mwra/gpop</f>
        <v>0.14870477999999998</v>
      </c>
    </row>
    <row r="19" spans="1:5" x14ac:dyDescent="0.25">
      <c r="B19" s="21"/>
      <c r="D19" s="252"/>
    </row>
    <row r="20" spans="1:5" x14ac:dyDescent="0.25">
      <c r="A20" s="19" t="s">
        <v>544</v>
      </c>
      <c r="B20" s="21">
        <f>B9*0.126</f>
        <v>12096000</v>
      </c>
      <c r="C20" s="21">
        <f>B20*0.7</f>
        <v>8467200</v>
      </c>
      <c r="D20" s="252"/>
      <c r="E20" s="41">
        <f>upop/gpop</f>
        <v>0.126</v>
      </c>
    </row>
    <row r="21" spans="1:5" x14ac:dyDescent="0.25">
      <c r="A21" s="19" t="s">
        <v>545</v>
      </c>
      <c r="B21" s="21">
        <f>B20*0.189</f>
        <v>2286144</v>
      </c>
      <c r="C21" s="21">
        <f>B21*0.7</f>
        <v>1600300.7999999998</v>
      </c>
      <c r="D21" s="252"/>
      <c r="E21" s="41">
        <f>C21/gpop</f>
        <v>2.3813999999999998E-2</v>
      </c>
    </row>
    <row r="22" spans="1:5" x14ac:dyDescent="0.25">
      <c r="D22" s="252"/>
    </row>
    <row r="23" spans="1:5" x14ac:dyDescent="0.25">
      <c r="A23" s="19" t="s">
        <v>547</v>
      </c>
      <c r="B23" s="21">
        <f>B9*(27.6/1000)</f>
        <v>2649600.0000000005</v>
      </c>
      <c r="C23" s="21">
        <f>B23*0.7</f>
        <v>1854720.0000000002</v>
      </c>
      <c r="D23" s="252"/>
      <c r="E23" s="41">
        <f>C23/gpop</f>
        <v>2.7600000000000003E-2</v>
      </c>
    </row>
    <row r="24" spans="1:5" x14ac:dyDescent="0.25">
      <c r="B24" s="21"/>
    </row>
    <row r="25" spans="1:5" x14ac:dyDescent="0.25">
      <c r="A25" s="19" t="s">
        <v>856</v>
      </c>
      <c r="B25" s="21">
        <f>B9-B20</f>
        <v>83904000</v>
      </c>
      <c r="C25" s="21">
        <f>gpop-upop</f>
        <v>58732800</v>
      </c>
      <c r="E25" s="41">
        <f>apop/gpop</f>
        <v>0.874</v>
      </c>
    </row>
    <row r="26" spans="1:5" x14ac:dyDescent="0.25">
      <c r="A26" s="19" t="s">
        <v>858</v>
      </c>
      <c r="B26" s="21">
        <f>B9*0.62</f>
        <v>59520000</v>
      </c>
      <c r="C26" s="21">
        <f>B26*0.7</f>
        <v>41664000</v>
      </c>
      <c r="E26" s="41">
        <f>a15pop/gpop</f>
        <v>0.62</v>
      </c>
    </row>
    <row r="27" spans="1:5" x14ac:dyDescent="0.25">
      <c r="B27" s="21"/>
    </row>
    <row r="28" spans="1:5" x14ac:dyDescent="0.25">
      <c r="A28" s="19" t="s">
        <v>857</v>
      </c>
      <c r="B28" s="21">
        <f>B23*1.05</f>
        <v>2782080.0000000005</v>
      </c>
      <c r="C28" s="21">
        <f>C23*1.05</f>
        <v>1947456.0000000002</v>
      </c>
      <c r="E28" s="41">
        <f>epreg/gpop</f>
        <v>2.8980000000000002E-2</v>
      </c>
    </row>
    <row r="29" spans="1:5" x14ac:dyDescent="0.25">
      <c r="B29" s="21"/>
    </row>
    <row r="30" spans="1:5" hidden="1" x14ac:dyDescent="0.25">
      <c r="A30" s="156" t="s">
        <v>548</v>
      </c>
      <c r="B30" s="157">
        <v>227</v>
      </c>
    </row>
    <row r="31" spans="1:5" hidden="1" x14ac:dyDescent="0.25">
      <c r="A31" s="156" t="s">
        <v>549</v>
      </c>
      <c r="B31" s="157">
        <v>23</v>
      </c>
    </row>
    <row r="32" spans="1:5" hidden="1" x14ac:dyDescent="0.25">
      <c r="A32" s="156" t="s">
        <v>550</v>
      </c>
      <c r="B32" s="157">
        <v>81</v>
      </c>
    </row>
    <row r="33" spans="1:5" hidden="1" x14ac:dyDescent="0.25">
      <c r="A33" s="156" t="s">
        <v>551</v>
      </c>
      <c r="B33" s="157">
        <v>97</v>
      </c>
    </row>
    <row r="34" spans="1:5" s="21" customFormat="1" hidden="1" x14ac:dyDescent="0.25">
      <c r="A34" s="156"/>
      <c r="B34" s="157"/>
      <c r="D34" s="19"/>
      <c r="E34" s="19"/>
    </row>
    <row r="35" spans="1:5" s="21" customFormat="1" hidden="1" x14ac:dyDescent="0.25">
      <c r="A35" s="156"/>
      <c r="B35" s="157"/>
      <c r="D35" s="19"/>
      <c r="E35" s="19"/>
    </row>
    <row r="36" spans="1:5" s="21" customFormat="1" hidden="1" x14ac:dyDescent="0.25">
      <c r="A36" s="156" t="s">
        <v>552</v>
      </c>
      <c r="B36" s="157">
        <f>(B23*B30)/100000</f>
        <v>6014.5920000000015</v>
      </c>
      <c r="D36" s="19"/>
      <c r="E36" s="19"/>
    </row>
    <row r="37" spans="1:5" s="21" customFormat="1" hidden="1" x14ac:dyDescent="0.25">
      <c r="A37" s="156" t="s">
        <v>553</v>
      </c>
      <c r="B37" s="157">
        <f>(B23*B32)/1000</f>
        <v>214617.60000000003</v>
      </c>
      <c r="D37" s="19"/>
      <c r="E37" s="19"/>
    </row>
    <row r="38" spans="1:5" s="21" customFormat="1" hidden="1" x14ac:dyDescent="0.25">
      <c r="A38" s="156" t="s">
        <v>554</v>
      </c>
      <c r="B38" s="157">
        <f>(B31*B23)/1000</f>
        <v>60940.80000000001</v>
      </c>
      <c r="D38" s="19"/>
      <c r="E38" s="19"/>
    </row>
    <row r="39" spans="1:5" s="21" customFormat="1" hidden="1" x14ac:dyDescent="0.25">
      <c r="A39" s="156" t="s">
        <v>555</v>
      </c>
      <c r="B39" s="157">
        <f>(B33*B23)/1000</f>
        <v>257011.20000000007</v>
      </c>
      <c r="D39" s="19"/>
      <c r="E39" s="19"/>
    </row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s="21" customFormat="1" x14ac:dyDescent="0.25">
      <c r="A44" s="19" t="s">
        <v>863</v>
      </c>
      <c r="B44" s="35">
        <f>B12/HFN</f>
        <v>26301.369863013697</v>
      </c>
      <c r="D44" s="19"/>
      <c r="E44" s="19"/>
    </row>
  </sheetData>
  <sheetProtection algorithmName="SHA-512" hashValue="DyjvQOVN3AkzwEjLr0/uhNyphfDWn4hGaggoY4pfQSipvUdGvOMhy3t4h8HyEInv89jAkIXvnZlqqYYUKlGUjg==" saltValue="dgZfurJywr++BuVsEJ8h4w==" spinCount="100000" sheet="1" objects="1" scenarios="1"/>
  <mergeCells count="1">
    <mergeCell ref="D14:D2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showGridLines="0" zoomScaleNormal="100" workbookViewId="0">
      <selection activeCell="B28" sqref="B28"/>
    </sheetView>
  </sheetViews>
  <sheetFormatPr defaultRowHeight="18.75" x14ac:dyDescent="0.3"/>
  <cols>
    <col min="1" max="1" width="9.140625" style="42"/>
    <col min="2" max="2" width="74.140625" style="42" bestFit="1" customWidth="1"/>
    <col min="3" max="3" width="8" style="43" bestFit="1" customWidth="1"/>
    <col min="4" max="4" width="9.42578125" style="43" bestFit="1" customWidth="1"/>
    <col min="5" max="5" width="10.85546875" style="42" customWidth="1"/>
    <col min="6" max="6" width="17.42578125" style="42" customWidth="1"/>
    <col min="7" max="7" width="11.42578125" style="42" hidden="1" customWidth="1"/>
    <col min="8" max="8" width="15.7109375" style="42" customWidth="1"/>
    <col min="9" max="9" width="16.28515625" style="42" customWidth="1"/>
    <col min="10" max="12" width="9.140625" style="42"/>
    <col min="13" max="13" width="9.42578125" style="42" bestFit="1" customWidth="1"/>
    <col min="14" max="16384" width="9.140625" style="42"/>
  </cols>
  <sheetData>
    <row r="1" spans="2:13" x14ac:dyDescent="0.3">
      <c r="L1" s="44" t="s">
        <v>582</v>
      </c>
      <c r="M1" s="44">
        <v>95</v>
      </c>
    </row>
    <row r="2" spans="2:13" x14ac:dyDescent="0.3">
      <c r="B2" s="189" t="s">
        <v>583</v>
      </c>
      <c r="C2" s="190"/>
      <c r="D2" s="190"/>
      <c r="E2" s="190"/>
      <c r="F2" s="190"/>
      <c r="G2" s="190"/>
      <c r="H2" s="190"/>
      <c r="I2" s="198"/>
    </row>
    <row r="3" spans="2:13" x14ac:dyDescent="0.3">
      <c r="B3" s="196" t="s">
        <v>164</v>
      </c>
      <c r="C3" s="131" t="s">
        <v>581</v>
      </c>
      <c r="D3" s="131" t="s">
        <v>578</v>
      </c>
      <c r="E3" s="190" t="s">
        <v>578</v>
      </c>
      <c r="F3" s="190"/>
      <c r="G3" s="190"/>
      <c r="H3" s="190"/>
      <c r="I3" s="198"/>
    </row>
    <row r="4" spans="2:13" ht="37.5" x14ac:dyDescent="0.3">
      <c r="B4" s="197"/>
      <c r="C4" s="199" t="s">
        <v>579</v>
      </c>
      <c r="D4" s="199"/>
      <c r="E4" s="163" t="s">
        <v>556</v>
      </c>
      <c r="F4" s="131" t="s">
        <v>580</v>
      </c>
      <c r="G4" s="131" t="s">
        <v>557</v>
      </c>
      <c r="H4" s="131" t="s">
        <v>558</v>
      </c>
      <c r="I4" s="131" t="s">
        <v>559</v>
      </c>
      <c r="J4" s="45"/>
    </row>
    <row r="5" spans="2:13" x14ac:dyDescent="0.3">
      <c r="B5" s="46" t="s">
        <v>659</v>
      </c>
      <c r="C5" s="47">
        <f t="shared" ref="C5:C14" si="0">D5/ex_usd</f>
        <v>10.102062754559178</v>
      </c>
      <c r="D5" s="48">
        <f t="shared" ref="D5:D15" si="1">SUM(E5:I5)</f>
        <v>959.69596168312182</v>
      </c>
      <c r="E5" s="49">
        <f>HR_Intervention!G5</f>
        <v>383.78</v>
      </c>
      <c r="F5" s="49">
        <f>'1.ANC'!C53</f>
        <v>393.48</v>
      </c>
      <c r="G5" s="49">
        <f t="shared" ref="G5:G14" si="2">E5*indirect_sal</f>
        <v>0</v>
      </c>
      <c r="H5" s="49">
        <f>(E5+G5)*Operating_Exp!$D$10</f>
        <v>57.25822755054066</v>
      </c>
      <c r="I5" s="49">
        <f>SUM(E5:H5)*15%</f>
        <v>125.17773413258109</v>
      </c>
    </row>
    <row r="6" spans="2:13" x14ac:dyDescent="0.3">
      <c r="B6" s="46" t="s">
        <v>660</v>
      </c>
      <c r="C6" s="47">
        <f t="shared" si="0"/>
        <v>5.0251852994395367</v>
      </c>
      <c r="D6" s="48">
        <f t="shared" si="1"/>
        <v>477.39260344675597</v>
      </c>
      <c r="E6" s="49">
        <f>HR_Intervention!G6</f>
        <v>215.87625</v>
      </c>
      <c r="F6" s="49">
        <f>'3.Post_partum'!C53</f>
        <v>167.04000000000002</v>
      </c>
      <c r="G6" s="49">
        <f t="shared" si="2"/>
        <v>0</v>
      </c>
      <c r="H6" s="49">
        <f>(E6+G6)*Operating_Exp!$D$10</f>
        <v>32.207752997179128</v>
      </c>
      <c r="I6" s="49">
        <f t="shared" ref="I6:I14" si="3">SUM(E6:H6)*15%</f>
        <v>62.268600449576866</v>
      </c>
    </row>
    <row r="7" spans="2:13" x14ac:dyDescent="0.3">
      <c r="B7" s="46" t="s">
        <v>561</v>
      </c>
      <c r="C7" s="47">
        <f t="shared" si="0"/>
        <v>1.4490962085851087</v>
      </c>
      <c r="D7" s="48">
        <f t="shared" si="1"/>
        <v>137.66413981558532</v>
      </c>
      <c r="E7" s="49">
        <f>HR_Intervention!G8</f>
        <v>71.958749999999995</v>
      </c>
      <c r="F7" s="49">
        <f>'8.Child_diarh_nodehy'!C53</f>
        <v>37.013280000000002</v>
      </c>
      <c r="G7" s="49">
        <f t="shared" si="2"/>
        <v>0</v>
      </c>
      <c r="H7" s="49">
        <f>(E7+G7)*Operating_Exp!$D$10</f>
        <v>10.735917665726374</v>
      </c>
      <c r="I7" s="49">
        <f t="shared" si="3"/>
        <v>17.956192149858953</v>
      </c>
    </row>
    <row r="8" spans="2:13" x14ac:dyDescent="0.3">
      <c r="B8" s="46" t="s">
        <v>560</v>
      </c>
      <c r="C8" s="47">
        <f t="shared" si="0"/>
        <v>1.8890494085851086</v>
      </c>
      <c r="D8" s="48">
        <f t="shared" si="1"/>
        <v>179.45969381558533</v>
      </c>
      <c r="E8" s="49">
        <f>HR_Intervention!G9</f>
        <v>71.958749999999995</v>
      </c>
      <c r="F8" s="49">
        <f>'9.Child_diarh_some_dehyd'!C53</f>
        <v>73.357240000000004</v>
      </c>
      <c r="G8" s="49">
        <f t="shared" si="2"/>
        <v>0</v>
      </c>
      <c r="H8" s="49">
        <f>(E8+G8)*Operating_Exp!$D$10</f>
        <v>10.735917665726374</v>
      </c>
      <c r="I8" s="49">
        <f t="shared" si="3"/>
        <v>23.407786149858953</v>
      </c>
    </row>
    <row r="9" spans="2:13" x14ac:dyDescent="0.3">
      <c r="B9" s="46" t="s">
        <v>562</v>
      </c>
      <c r="C9" s="47">
        <f t="shared" si="0"/>
        <v>1.0949170296377402</v>
      </c>
      <c r="D9" s="48">
        <f t="shared" si="1"/>
        <v>104.01711781558532</v>
      </c>
      <c r="E9" s="49">
        <f>HR_Intervention!G10</f>
        <v>71.958749999999995</v>
      </c>
      <c r="F9" s="49">
        <f>'11.Child_Fever'!C53</f>
        <v>7.7549999999999999</v>
      </c>
      <c r="G9" s="49">
        <f t="shared" si="2"/>
        <v>0</v>
      </c>
      <c r="H9" s="49">
        <f>(E9+G9)*Operating_Exp!$D$10</f>
        <v>10.735917665726374</v>
      </c>
      <c r="I9" s="49">
        <f t="shared" si="3"/>
        <v>13.567450149858955</v>
      </c>
    </row>
    <row r="10" spans="2:13" x14ac:dyDescent="0.3">
      <c r="B10" s="46" t="s">
        <v>563</v>
      </c>
      <c r="C10" s="47">
        <f t="shared" si="0"/>
        <v>43.956172158884513</v>
      </c>
      <c r="D10" s="48">
        <f t="shared" si="1"/>
        <v>4175.8363550940285</v>
      </c>
      <c r="E10" s="49">
        <f>SUM(HR_Intervention!G18:G23)</f>
        <v>249.45699999999999</v>
      </c>
      <c r="F10" s="49">
        <f>'11.Immunisation'!C53</f>
        <v>3344.4871999999996</v>
      </c>
      <c r="G10" s="49">
        <f t="shared" si="2"/>
        <v>0</v>
      </c>
      <c r="H10" s="49">
        <f>(E10+G10)*Operating_Exp!$D$10</f>
        <v>37.217847907851436</v>
      </c>
      <c r="I10" s="49">
        <f t="shared" si="3"/>
        <v>544.67430718617766</v>
      </c>
      <c r="J10" s="50"/>
    </row>
    <row r="11" spans="2:13" x14ac:dyDescent="0.3">
      <c r="B11" s="46" t="s">
        <v>530</v>
      </c>
      <c r="C11" s="47">
        <f t="shared" si="0"/>
        <v>1.8756228392782026</v>
      </c>
      <c r="D11" s="48">
        <f t="shared" si="1"/>
        <v>178.18416973142925</v>
      </c>
      <c r="E11" s="49">
        <f>SUM(HR_Intervention!G15:G16)/2</f>
        <v>52.769749999999995</v>
      </c>
      <c r="F11" s="49">
        <f>'12.FP_condoms'!C53</f>
        <v>94.3</v>
      </c>
      <c r="G11" s="49">
        <f t="shared" si="2"/>
        <v>0</v>
      </c>
      <c r="H11" s="49">
        <f>(E11+G11)*Operating_Exp!$D$10</f>
        <v>7.873006288199341</v>
      </c>
      <c r="I11" s="49">
        <f t="shared" si="3"/>
        <v>23.241413443229902</v>
      </c>
    </row>
    <row r="12" spans="2:13" x14ac:dyDescent="0.3">
      <c r="B12" s="46" t="s">
        <v>564</v>
      </c>
      <c r="C12" s="47">
        <f t="shared" si="0"/>
        <v>2.2743018854545567</v>
      </c>
      <c r="D12" s="48">
        <f t="shared" si="1"/>
        <v>216.05867911818288</v>
      </c>
      <c r="E12" s="49">
        <f>SUM(HR_Intervention!G13:G14)/2</f>
        <v>83.951875000000001</v>
      </c>
      <c r="F12" s="49">
        <f>'13.FP_Oral'!C53</f>
        <v>91.4</v>
      </c>
      <c r="G12" s="49">
        <f t="shared" si="2"/>
        <v>0</v>
      </c>
      <c r="H12" s="49">
        <f>(E12+G12)*Operating_Exp!$D$10</f>
        <v>12.525237276680771</v>
      </c>
      <c r="I12" s="49">
        <f t="shared" si="3"/>
        <v>28.181566841502114</v>
      </c>
    </row>
    <row r="13" spans="2:13" x14ac:dyDescent="0.3">
      <c r="B13" s="46" t="s">
        <v>565</v>
      </c>
      <c r="C13" s="47">
        <f t="shared" si="0"/>
        <v>1.9434892538756092</v>
      </c>
      <c r="D13" s="48">
        <f t="shared" si="1"/>
        <v>184.63147911818288</v>
      </c>
      <c r="E13" s="49">
        <f>SUM(HR_Intervention!G11:G12)/2</f>
        <v>83.951875000000001</v>
      </c>
      <c r="F13" s="49">
        <f>'14.FP_Inject'!C53</f>
        <v>64.072000000000003</v>
      </c>
      <c r="G13" s="49">
        <f t="shared" si="2"/>
        <v>0</v>
      </c>
      <c r="H13" s="49">
        <f>(E13+G13)*Operating_Exp!$D$10</f>
        <v>12.525237276680771</v>
      </c>
      <c r="I13" s="49">
        <f t="shared" si="3"/>
        <v>24.082366841502115</v>
      </c>
    </row>
    <row r="14" spans="2:13" x14ac:dyDescent="0.3">
      <c r="B14" s="46" t="s">
        <v>566</v>
      </c>
      <c r="C14" s="47">
        <f t="shared" si="0"/>
        <v>1.3599967412713729</v>
      </c>
      <c r="D14" s="48">
        <f t="shared" si="1"/>
        <v>129.19969042078043</v>
      </c>
      <c r="E14" s="49">
        <f>HR_Intervention!G25</f>
        <v>95.944999999999993</v>
      </c>
      <c r="F14" s="49">
        <f>'16.ECM_Cold'!C53</f>
        <v>2.0880000000000001</v>
      </c>
      <c r="G14" s="49">
        <f t="shared" si="2"/>
        <v>0</v>
      </c>
      <c r="H14" s="49">
        <f>(E14+G14)*Operating_Exp!$D$10</f>
        <v>14.314556887635165</v>
      </c>
      <c r="I14" s="49">
        <f t="shared" si="3"/>
        <v>16.85213353314527</v>
      </c>
    </row>
    <row r="15" spans="2:13" hidden="1" x14ac:dyDescent="0.3">
      <c r="B15" s="46" t="s">
        <v>862</v>
      </c>
      <c r="C15" s="47">
        <f t="shared" ref="C15" si="4">D15/ex_usd</f>
        <v>2.8240372713028306</v>
      </c>
      <c r="D15" s="48">
        <f t="shared" si="1"/>
        <v>268.28354077376889</v>
      </c>
      <c r="E15" s="49">
        <v>10</v>
      </c>
      <c r="F15" s="49">
        <f>'28.Nut_MMS'!I16</f>
        <v>194.88</v>
      </c>
      <c r="G15" s="49">
        <f t="shared" ref="G15" si="5">E15*indirect_sal</f>
        <v>0</v>
      </c>
      <c r="H15" s="49">
        <f>(E15+G15)*Operating_Exp!$D$10</f>
        <v>1.4919544413606927</v>
      </c>
      <c r="I15" s="49">
        <f t="shared" ref="I15" si="6">SUM(E15:H15)*30%</f>
        <v>61.911586332408206</v>
      </c>
    </row>
    <row r="16" spans="2:13" x14ac:dyDescent="0.3">
      <c r="B16" s="131"/>
      <c r="C16" s="131"/>
      <c r="D16" s="131"/>
      <c r="E16" s="131"/>
      <c r="F16" s="131"/>
      <c r="G16" s="131"/>
      <c r="H16" s="131"/>
      <c r="I16" s="131"/>
    </row>
    <row r="17" spans="6:6" x14ac:dyDescent="0.3">
      <c r="F17" s="51"/>
    </row>
  </sheetData>
  <sheetProtection algorithmName="SHA-512" hashValue="dHit0/3sPmQRYg6+mw5Tq/atUh5qDEcp8aaCbz/4GglgG4p1rldKH0Zpz0eK4zbRG0esNBaD5X3KbVdmhNZu+g==" saltValue="vlC/Vq4UeQqpzjXo5EIvhQ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B3:B4"/>
    <mergeCell ref="E3:I3"/>
    <mergeCell ref="C4:D4"/>
    <mergeCell ref="B2:I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9"/>
  <sheetViews>
    <sheetView showGridLines="0" zoomScale="115" zoomScaleNormal="115" workbookViewId="0">
      <selection activeCell="B43" sqref="B43"/>
    </sheetView>
  </sheetViews>
  <sheetFormatPr defaultColWidth="9.140625" defaultRowHeight="15" customHeight="1" x14ac:dyDescent="0.25"/>
  <cols>
    <col min="1" max="1" width="3.5703125" style="110" customWidth="1"/>
    <col min="2" max="2" width="44.140625" style="110" customWidth="1"/>
    <col min="3" max="3" width="3.42578125" style="110" hidden="1" customWidth="1"/>
    <col min="4" max="4" width="3" style="110" customWidth="1"/>
    <col min="5" max="5" width="10.7109375" style="110" bestFit="1" customWidth="1"/>
    <col min="6" max="6" width="13.140625" style="110" bestFit="1" customWidth="1"/>
    <col min="7" max="7" width="5.140625" style="110" bestFit="1" customWidth="1"/>
    <col min="8" max="8" width="9" style="110" bestFit="1" customWidth="1"/>
    <col min="9" max="9" width="5.42578125" style="110" bestFit="1" customWidth="1"/>
    <col min="10" max="10" width="5.85546875" style="110" bestFit="1" customWidth="1"/>
    <col min="11" max="12" width="11.140625" style="110" bestFit="1" customWidth="1"/>
    <col min="13" max="14" width="12.28515625" style="110" bestFit="1" customWidth="1"/>
    <col min="15" max="15" width="8.28515625" style="110" bestFit="1" customWidth="1"/>
    <col min="16" max="18" width="9.28515625" style="110" bestFit="1" customWidth="1"/>
    <col min="19" max="258" width="9.140625" style="110"/>
    <col min="259" max="259" width="3.5703125" style="110" customWidth="1"/>
    <col min="260" max="260" width="52.42578125" style="110" customWidth="1"/>
    <col min="261" max="261" width="22.7109375" style="110" customWidth="1"/>
    <col min="262" max="262" width="3.42578125" style="110" customWidth="1"/>
    <col min="263" max="263" width="3" style="110" customWidth="1"/>
    <col min="264" max="267" width="9.140625" style="110" customWidth="1"/>
    <col min="268" max="269" width="10.5703125" style="110" customWidth="1"/>
    <col min="270" max="270" width="9.140625" style="110" customWidth="1"/>
    <col min="271" max="271" width="12.42578125" style="110" customWidth="1"/>
    <col min="272" max="272" width="9.140625" style="110" customWidth="1"/>
    <col min="273" max="273" width="10.5703125" style="110" customWidth="1"/>
    <col min="274" max="274" width="9.140625" style="110" customWidth="1"/>
    <col min="275" max="514" width="9.140625" style="110"/>
    <col min="515" max="515" width="3.5703125" style="110" customWidth="1"/>
    <col min="516" max="516" width="52.42578125" style="110" customWidth="1"/>
    <col min="517" max="517" width="22.7109375" style="110" customWidth="1"/>
    <col min="518" max="518" width="3.42578125" style="110" customWidth="1"/>
    <col min="519" max="519" width="3" style="110" customWidth="1"/>
    <col min="520" max="523" width="9.140625" style="110" customWidth="1"/>
    <col min="524" max="525" width="10.5703125" style="110" customWidth="1"/>
    <col min="526" max="526" width="9.140625" style="110" customWidth="1"/>
    <col min="527" max="527" width="12.42578125" style="110" customWidth="1"/>
    <col min="528" max="528" width="9.140625" style="110" customWidth="1"/>
    <col min="529" max="529" width="10.5703125" style="110" customWidth="1"/>
    <col min="530" max="530" width="9.140625" style="110" customWidth="1"/>
    <col min="531" max="770" width="9.140625" style="110"/>
    <col min="771" max="771" width="3.5703125" style="110" customWidth="1"/>
    <col min="772" max="772" width="52.42578125" style="110" customWidth="1"/>
    <col min="773" max="773" width="22.7109375" style="110" customWidth="1"/>
    <col min="774" max="774" width="3.42578125" style="110" customWidth="1"/>
    <col min="775" max="775" width="3" style="110" customWidth="1"/>
    <col min="776" max="779" width="9.140625" style="110" customWidth="1"/>
    <col min="780" max="781" width="10.5703125" style="110" customWidth="1"/>
    <col min="782" max="782" width="9.140625" style="110" customWidth="1"/>
    <col min="783" max="783" width="12.42578125" style="110" customWidth="1"/>
    <col min="784" max="784" width="9.140625" style="110" customWidth="1"/>
    <col min="785" max="785" width="10.5703125" style="110" customWidth="1"/>
    <col min="786" max="786" width="9.140625" style="110" customWidth="1"/>
    <col min="787" max="1026" width="9.140625" style="110"/>
    <col min="1027" max="1027" width="3.5703125" style="110" customWidth="1"/>
    <col min="1028" max="1028" width="52.42578125" style="110" customWidth="1"/>
    <col min="1029" max="1029" width="22.7109375" style="110" customWidth="1"/>
    <col min="1030" max="1030" width="3.42578125" style="110" customWidth="1"/>
    <col min="1031" max="1031" width="3" style="110" customWidth="1"/>
    <col min="1032" max="1035" width="9.140625" style="110" customWidth="1"/>
    <col min="1036" max="1037" width="10.5703125" style="110" customWidth="1"/>
    <col min="1038" max="1038" width="9.140625" style="110" customWidth="1"/>
    <col min="1039" max="1039" width="12.42578125" style="110" customWidth="1"/>
    <col min="1040" max="1040" width="9.140625" style="110" customWidth="1"/>
    <col min="1041" max="1041" width="10.5703125" style="110" customWidth="1"/>
    <col min="1042" max="1042" width="9.140625" style="110" customWidth="1"/>
    <col min="1043" max="1282" width="9.140625" style="110"/>
    <col min="1283" max="1283" width="3.5703125" style="110" customWidth="1"/>
    <col min="1284" max="1284" width="52.42578125" style="110" customWidth="1"/>
    <col min="1285" max="1285" width="22.7109375" style="110" customWidth="1"/>
    <col min="1286" max="1286" width="3.42578125" style="110" customWidth="1"/>
    <col min="1287" max="1287" width="3" style="110" customWidth="1"/>
    <col min="1288" max="1291" width="9.140625" style="110" customWidth="1"/>
    <col min="1292" max="1293" width="10.5703125" style="110" customWidth="1"/>
    <col min="1294" max="1294" width="9.140625" style="110" customWidth="1"/>
    <col min="1295" max="1295" width="12.42578125" style="110" customWidth="1"/>
    <col min="1296" max="1296" width="9.140625" style="110" customWidth="1"/>
    <col min="1297" max="1297" width="10.5703125" style="110" customWidth="1"/>
    <col min="1298" max="1298" width="9.140625" style="110" customWidth="1"/>
    <col min="1299" max="1538" width="9.140625" style="110"/>
    <col min="1539" max="1539" width="3.5703125" style="110" customWidth="1"/>
    <col min="1540" max="1540" width="52.42578125" style="110" customWidth="1"/>
    <col min="1541" max="1541" width="22.7109375" style="110" customWidth="1"/>
    <col min="1542" max="1542" width="3.42578125" style="110" customWidth="1"/>
    <col min="1543" max="1543" width="3" style="110" customWidth="1"/>
    <col min="1544" max="1547" width="9.140625" style="110" customWidth="1"/>
    <col min="1548" max="1549" width="10.5703125" style="110" customWidth="1"/>
    <col min="1550" max="1550" width="9.140625" style="110" customWidth="1"/>
    <col min="1551" max="1551" width="12.42578125" style="110" customWidth="1"/>
    <col min="1552" max="1552" width="9.140625" style="110" customWidth="1"/>
    <col min="1553" max="1553" width="10.5703125" style="110" customWidth="1"/>
    <col min="1554" max="1554" width="9.140625" style="110" customWidth="1"/>
    <col min="1555" max="1794" width="9.140625" style="110"/>
    <col min="1795" max="1795" width="3.5703125" style="110" customWidth="1"/>
    <col min="1796" max="1796" width="52.42578125" style="110" customWidth="1"/>
    <col min="1797" max="1797" width="22.7109375" style="110" customWidth="1"/>
    <col min="1798" max="1798" width="3.42578125" style="110" customWidth="1"/>
    <col min="1799" max="1799" width="3" style="110" customWidth="1"/>
    <col min="1800" max="1803" width="9.140625" style="110" customWidth="1"/>
    <col min="1804" max="1805" width="10.5703125" style="110" customWidth="1"/>
    <col min="1806" max="1806" width="9.140625" style="110" customWidth="1"/>
    <col min="1807" max="1807" width="12.42578125" style="110" customWidth="1"/>
    <col min="1808" max="1808" width="9.140625" style="110" customWidth="1"/>
    <col min="1809" max="1809" width="10.5703125" style="110" customWidth="1"/>
    <col min="1810" max="1810" width="9.140625" style="110" customWidth="1"/>
    <col min="1811" max="2050" width="9.140625" style="110"/>
    <col min="2051" max="2051" width="3.5703125" style="110" customWidth="1"/>
    <col min="2052" max="2052" width="52.42578125" style="110" customWidth="1"/>
    <col min="2053" max="2053" width="22.7109375" style="110" customWidth="1"/>
    <col min="2054" max="2054" width="3.42578125" style="110" customWidth="1"/>
    <col min="2055" max="2055" width="3" style="110" customWidth="1"/>
    <col min="2056" max="2059" width="9.140625" style="110" customWidth="1"/>
    <col min="2060" max="2061" width="10.5703125" style="110" customWidth="1"/>
    <col min="2062" max="2062" width="9.140625" style="110" customWidth="1"/>
    <col min="2063" max="2063" width="12.42578125" style="110" customWidth="1"/>
    <col min="2064" max="2064" width="9.140625" style="110" customWidth="1"/>
    <col min="2065" max="2065" width="10.5703125" style="110" customWidth="1"/>
    <col min="2066" max="2066" width="9.140625" style="110" customWidth="1"/>
    <col min="2067" max="2306" width="9.140625" style="110"/>
    <col min="2307" max="2307" width="3.5703125" style="110" customWidth="1"/>
    <col min="2308" max="2308" width="52.42578125" style="110" customWidth="1"/>
    <col min="2309" max="2309" width="22.7109375" style="110" customWidth="1"/>
    <col min="2310" max="2310" width="3.42578125" style="110" customWidth="1"/>
    <col min="2311" max="2311" width="3" style="110" customWidth="1"/>
    <col min="2312" max="2315" width="9.140625" style="110" customWidth="1"/>
    <col min="2316" max="2317" width="10.5703125" style="110" customWidth="1"/>
    <col min="2318" max="2318" width="9.140625" style="110" customWidth="1"/>
    <col min="2319" max="2319" width="12.42578125" style="110" customWidth="1"/>
    <col min="2320" max="2320" width="9.140625" style="110" customWidth="1"/>
    <col min="2321" max="2321" width="10.5703125" style="110" customWidth="1"/>
    <col min="2322" max="2322" width="9.140625" style="110" customWidth="1"/>
    <col min="2323" max="2562" width="9.140625" style="110"/>
    <col min="2563" max="2563" width="3.5703125" style="110" customWidth="1"/>
    <col min="2564" max="2564" width="52.42578125" style="110" customWidth="1"/>
    <col min="2565" max="2565" width="22.7109375" style="110" customWidth="1"/>
    <col min="2566" max="2566" width="3.42578125" style="110" customWidth="1"/>
    <col min="2567" max="2567" width="3" style="110" customWidth="1"/>
    <col min="2568" max="2571" width="9.140625" style="110" customWidth="1"/>
    <col min="2572" max="2573" width="10.5703125" style="110" customWidth="1"/>
    <col min="2574" max="2574" width="9.140625" style="110" customWidth="1"/>
    <col min="2575" max="2575" width="12.42578125" style="110" customWidth="1"/>
    <col min="2576" max="2576" width="9.140625" style="110" customWidth="1"/>
    <col min="2577" max="2577" width="10.5703125" style="110" customWidth="1"/>
    <col min="2578" max="2578" width="9.140625" style="110" customWidth="1"/>
    <col min="2579" max="2818" width="9.140625" style="110"/>
    <col min="2819" max="2819" width="3.5703125" style="110" customWidth="1"/>
    <col min="2820" max="2820" width="52.42578125" style="110" customWidth="1"/>
    <col min="2821" max="2821" width="22.7109375" style="110" customWidth="1"/>
    <col min="2822" max="2822" width="3.42578125" style="110" customWidth="1"/>
    <col min="2823" max="2823" width="3" style="110" customWidth="1"/>
    <col min="2824" max="2827" width="9.140625" style="110" customWidth="1"/>
    <col min="2828" max="2829" width="10.5703125" style="110" customWidth="1"/>
    <col min="2830" max="2830" width="9.140625" style="110" customWidth="1"/>
    <col min="2831" max="2831" width="12.42578125" style="110" customWidth="1"/>
    <col min="2832" max="2832" width="9.140625" style="110" customWidth="1"/>
    <col min="2833" max="2833" width="10.5703125" style="110" customWidth="1"/>
    <col min="2834" max="2834" width="9.140625" style="110" customWidth="1"/>
    <col min="2835" max="3074" width="9.140625" style="110"/>
    <col min="3075" max="3075" width="3.5703125" style="110" customWidth="1"/>
    <col min="3076" max="3076" width="52.42578125" style="110" customWidth="1"/>
    <col min="3077" max="3077" width="22.7109375" style="110" customWidth="1"/>
    <col min="3078" max="3078" width="3.42578125" style="110" customWidth="1"/>
    <col min="3079" max="3079" width="3" style="110" customWidth="1"/>
    <col min="3080" max="3083" width="9.140625" style="110" customWidth="1"/>
    <col min="3084" max="3085" width="10.5703125" style="110" customWidth="1"/>
    <col min="3086" max="3086" width="9.140625" style="110" customWidth="1"/>
    <col min="3087" max="3087" width="12.42578125" style="110" customWidth="1"/>
    <col min="3088" max="3088" width="9.140625" style="110" customWidth="1"/>
    <col min="3089" max="3089" width="10.5703125" style="110" customWidth="1"/>
    <col min="3090" max="3090" width="9.140625" style="110" customWidth="1"/>
    <col min="3091" max="3330" width="9.140625" style="110"/>
    <col min="3331" max="3331" width="3.5703125" style="110" customWidth="1"/>
    <col min="3332" max="3332" width="52.42578125" style="110" customWidth="1"/>
    <col min="3333" max="3333" width="22.7109375" style="110" customWidth="1"/>
    <col min="3334" max="3334" width="3.42578125" style="110" customWidth="1"/>
    <col min="3335" max="3335" width="3" style="110" customWidth="1"/>
    <col min="3336" max="3339" width="9.140625" style="110" customWidth="1"/>
    <col min="3340" max="3341" width="10.5703125" style="110" customWidth="1"/>
    <col min="3342" max="3342" width="9.140625" style="110" customWidth="1"/>
    <col min="3343" max="3343" width="12.42578125" style="110" customWidth="1"/>
    <col min="3344" max="3344" width="9.140625" style="110" customWidth="1"/>
    <col min="3345" max="3345" width="10.5703125" style="110" customWidth="1"/>
    <col min="3346" max="3346" width="9.140625" style="110" customWidth="1"/>
    <col min="3347" max="3586" width="9.140625" style="110"/>
    <col min="3587" max="3587" width="3.5703125" style="110" customWidth="1"/>
    <col min="3588" max="3588" width="52.42578125" style="110" customWidth="1"/>
    <col min="3589" max="3589" width="22.7109375" style="110" customWidth="1"/>
    <col min="3590" max="3590" width="3.42578125" style="110" customWidth="1"/>
    <col min="3591" max="3591" width="3" style="110" customWidth="1"/>
    <col min="3592" max="3595" width="9.140625" style="110" customWidth="1"/>
    <col min="3596" max="3597" width="10.5703125" style="110" customWidth="1"/>
    <col min="3598" max="3598" width="9.140625" style="110" customWidth="1"/>
    <col min="3599" max="3599" width="12.42578125" style="110" customWidth="1"/>
    <col min="3600" max="3600" width="9.140625" style="110" customWidth="1"/>
    <col min="3601" max="3601" width="10.5703125" style="110" customWidth="1"/>
    <col min="3602" max="3602" width="9.140625" style="110" customWidth="1"/>
    <col min="3603" max="3842" width="9.140625" style="110"/>
    <col min="3843" max="3843" width="3.5703125" style="110" customWidth="1"/>
    <col min="3844" max="3844" width="52.42578125" style="110" customWidth="1"/>
    <col min="3845" max="3845" width="22.7109375" style="110" customWidth="1"/>
    <col min="3846" max="3846" width="3.42578125" style="110" customWidth="1"/>
    <col min="3847" max="3847" width="3" style="110" customWidth="1"/>
    <col min="3848" max="3851" width="9.140625" style="110" customWidth="1"/>
    <col min="3852" max="3853" width="10.5703125" style="110" customWidth="1"/>
    <col min="3854" max="3854" width="9.140625" style="110" customWidth="1"/>
    <col min="3855" max="3855" width="12.42578125" style="110" customWidth="1"/>
    <col min="3856" max="3856" width="9.140625" style="110" customWidth="1"/>
    <col min="3857" max="3857" width="10.5703125" style="110" customWidth="1"/>
    <col min="3858" max="3858" width="9.140625" style="110" customWidth="1"/>
    <col min="3859" max="4098" width="9.140625" style="110"/>
    <col min="4099" max="4099" width="3.5703125" style="110" customWidth="1"/>
    <col min="4100" max="4100" width="52.42578125" style="110" customWidth="1"/>
    <col min="4101" max="4101" width="22.7109375" style="110" customWidth="1"/>
    <col min="4102" max="4102" width="3.42578125" style="110" customWidth="1"/>
    <col min="4103" max="4103" width="3" style="110" customWidth="1"/>
    <col min="4104" max="4107" width="9.140625" style="110" customWidth="1"/>
    <col min="4108" max="4109" width="10.5703125" style="110" customWidth="1"/>
    <col min="4110" max="4110" width="9.140625" style="110" customWidth="1"/>
    <col min="4111" max="4111" width="12.42578125" style="110" customWidth="1"/>
    <col min="4112" max="4112" width="9.140625" style="110" customWidth="1"/>
    <col min="4113" max="4113" width="10.5703125" style="110" customWidth="1"/>
    <col min="4114" max="4114" width="9.140625" style="110" customWidth="1"/>
    <col min="4115" max="4354" width="9.140625" style="110"/>
    <col min="4355" max="4355" width="3.5703125" style="110" customWidth="1"/>
    <col min="4356" max="4356" width="52.42578125" style="110" customWidth="1"/>
    <col min="4357" max="4357" width="22.7109375" style="110" customWidth="1"/>
    <col min="4358" max="4358" width="3.42578125" style="110" customWidth="1"/>
    <col min="4359" max="4359" width="3" style="110" customWidth="1"/>
    <col min="4360" max="4363" width="9.140625" style="110" customWidth="1"/>
    <col min="4364" max="4365" width="10.5703125" style="110" customWidth="1"/>
    <col min="4366" max="4366" width="9.140625" style="110" customWidth="1"/>
    <col min="4367" max="4367" width="12.42578125" style="110" customWidth="1"/>
    <col min="4368" max="4368" width="9.140625" style="110" customWidth="1"/>
    <col min="4369" max="4369" width="10.5703125" style="110" customWidth="1"/>
    <col min="4370" max="4370" width="9.140625" style="110" customWidth="1"/>
    <col min="4371" max="4610" width="9.140625" style="110"/>
    <col min="4611" max="4611" width="3.5703125" style="110" customWidth="1"/>
    <col min="4612" max="4612" width="52.42578125" style="110" customWidth="1"/>
    <col min="4613" max="4613" width="22.7109375" style="110" customWidth="1"/>
    <col min="4614" max="4614" width="3.42578125" style="110" customWidth="1"/>
    <col min="4615" max="4615" width="3" style="110" customWidth="1"/>
    <col min="4616" max="4619" width="9.140625" style="110" customWidth="1"/>
    <col min="4620" max="4621" width="10.5703125" style="110" customWidth="1"/>
    <col min="4622" max="4622" width="9.140625" style="110" customWidth="1"/>
    <col min="4623" max="4623" width="12.42578125" style="110" customWidth="1"/>
    <col min="4624" max="4624" width="9.140625" style="110" customWidth="1"/>
    <col min="4625" max="4625" width="10.5703125" style="110" customWidth="1"/>
    <col min="4626" max="4626" width="9.140625" style="110" customWidth="1"/>
    <col min="4627" max="4866" width="9.140625" style="110"/>
    <col min="4867" max="4867" width="3.5703125" style="110" customWidth="1"/>
    <col min="4868" max="4868" width="52.42578125" style="110" customWidth="1"/>
    <col min="4869" max="4869" width="22.7109375" style="110" customWidth="1"/>
    <col min="4870" max="4870" width="3.42578125" style="110" customWidth="1"/>
    <col min="4871" max="4871" width="3" style="110" customWidth="1"/>
    <col min="4872" max="4875" width="9.140625" style="110" customWidth="1"/>
    <col min="4876" max="4877" width="10.5703125" style="110" customWidth="1"/>
    <col min="4878" max="4878" width="9.140625" style="110" customWidth="1"/>
    <col min="4879" max="4879" width="12.42578125" style="110" customWidth="1"/>
    <col min="4880" max="4880" width="9.140625" style="110" customWidth="1"/>
    <col min="4881" max="4881" width="10.5703125" style="110" customWidth="1"/>
    <col min="4882" max="4882" width="9.140625" style="110" customWidth="1"/>
    <col min="4883" max="5122" width="9.140625" style="110"/>
    <col min="5123" max="5123" width="3.5703125" style="110" customWidth="1"/>
    <col min="5124" max="5124" width="52.42578125" style="110" customWidth="1"/>
    <col min="5125" max="5125" width="22.7109375" style="110" customWidth="1"/>
    <col min="5126" max="5126" width="3.42578125" style="110" customWidth="1"/>
    <col min="5127" max="5127" width="3" style="110" customWidth="1"/>
    <col min="5128" max="5131" width="9.140625" style="110" customWidth="1"/>
    <col min="5132" max="5133" width="10.5703125" style="110" customWidth="1"/>
    <col min="5134" max="5134" width="9.140625" style="110" customWidth="1"/>
    <col min="5135" max="5135" width="12.42578125" style="110" customWidth="1"/>
    <col min="5136" max="5136" width="9.140625" style="110" customWidth="1"/>
    <col min="5137" max="5137" width="10.5703125" style="110" customWidth="1"/>
    <col min="5138" max="5138" width="9.140625" style="110" customWidth="1"/>
    <col min="5139" max="5378" width="9.140625" style="110"/>
    <col min="5379" max="5379" width="3.5703125" style="110" customWidth="1"/>
    <col min="5380" max="5380" width="52.42578125" style="110" customWidth="1"/>
    <col min="5381" max="5381" width="22.7109375" style="110" customWidth="1"/>
    <col min="5382" max="5382" width="3.42578125" style="110" customWidth="1"/>
    <col min="5383" max="5383" width="3" style="110" customWidth="1"/>
    <col min="5384" max="5387" width="9.140625" style="110" customWidth="1"/>
    <col min="5388" max="5389" width="10.5703125" style="110" customWidth="1"/>
    <col min="5390" max="5390" width="9.140625" style="110" customWidth="1"/>
    <col min="5391" max="5391" width="12.42578125" style="110" customWidth="1"/>
    <col min="5392" max="5392" width="9.140625" style="110" customWidth="1"/>
    <col min="5393" max="5393" width="10.5703125" style="110" customWidth="1"/>
    <col min="5394" max="5394" width="9.140625" style="110" customWidth="1"/>
    <col min="5395" max="5634" width="9.140625" style="110"/>
    <col min="5635" max="5635" width="3.5703125" style="110" customWidth="1"/>
    <col min="5636" max="5636" width="52.42578125" style="110" customWidth="1"/>
    <col min="5637" max="5637" width="22.7109375" style="110" customWidth="1"/>
    <col min="5638" max="5638" width="3.42578125" style="110" customWidth="1"/>
    <col min="5639" max="5639" width="3" style="110" customWidth="1"/>
    <col min="5640" max="5643" width="9.140625" style="110" customWidth="1"/>
    <col min="5644" max="5645" width="10.5703125" style="110" customWidth="1"/>
    <col min="5646" max="5646" width="9.140625" style="110" customWidth="1"/>
    <col min="5647" max="5647" width="12.42578125" style="110" customWidth="1"/>
    <col min="5648" max="5648" width="9.140625" style="110" customWidth="1"/>
    <col min="5649" max="5649" width="10.5703125" style="110" customWidth="1"/>
    <col min="5650" max="5650" width="9.140625" style="110" customWidth="1"/>
    <col min="5651" max="5890" width="9.140625" style="110"/>
    <col min="5891" max="5891" width="3.5703125" style="110" customWidth="1"/>
    <col min="5892" max="5892" width="52.42578125" style="110" customWidth="1"/>
    <col min="5893" max="5893" width="22.7109375" style="110" customWidth="1"/>
    <col min="5894" max="5894" width="3.42578125" style="110" customWidth="1"/>
    <col min="5895" max="5895" width="3" style="110" customWidth="1"/>
    <col min="5896" max="5899" width="9.140625" style="110" customWidth="1"/>
    <col min="5900" max="5901" width="10.5703125" style="110" customWidth="1"/>
    <col min="5902" max="5902" width="9.140625" style="110" customWidth="1"/>
    <col min="5903" max="5903" width="12.42578125" style="110" customWidth="1"/>
    <col min="5904" max="5904" width="9.140625" style="110" customWidth="1"/>
    <col min="5905" max="5905" width="10.5703125" style="110" customWidth="1"/>
    <col min="5906" max="5906" width="9.140625" style="110" customWidth="1"/>
    <col min="5907" max="6146" width="9.140625" style="110"/>
    <col min="6147" max="6147" width="3.5703125" style="110" customWidth="1"/>
    <col min="6148" max="6148" width="52.42578125" style="110" customWidth="1"/>
    <col min="6149" max="6149" width="22.7109375" style="110" customWidth="1"/>
    <col min="6150" max="6150" width="3.42578125" style="110" customWidth="1"/>
    <col min="6151" max="6151" width="3" style="110" customWidth="1"/>
    <col min="6152" max="6155" width="9.140625" style="110" customWidth="1"/>
    <col min="6156" max="6157" width="10.5703125" style="110" customWidth="1"/>
    <col min="6158" max="6158" width="9.140625" style="110" customWidth="1"/>
    <col min="6159" max="6159" width="12.42578125" style="110" customWidth="1"/>
    <col min="6160" max="6160" width="9.140625" style="110" customWidth="1"/>
    <col min="6161" max="6161" width="10.5703125" style="110" customWidth="1"/>
    <col min="6162" max="6162" width="9.140625" style="110" customWidth="1"/>
    <col min="6163" max="6402" width="9.140625" style="110"/>
    <col min="6403" max="6403" width="3.5703125" style="110" customWidth="1"/>
    <col min="6404" max="6404" width="52.42578125" style="110" customWidth="1"/>
    <col min="6405" max="6405" width="22.7109375" style="110" customWidth="1"/>
    <col min="6406" max="6406" width="3.42578125" style="110" customWidth="1"/>
    <col min="6407" max="6407" width="3" style="110" customWidth="1"/>
    <col min="6408" max="6411" width="9.140625" style="110" customWidth="1"/>
    <col min="6412" max="6413" width="10.5703125" style="110" customWidth="1"/>
    <col min="6414" max="6414" width="9.140625" style="110" customWidth="1"/>
    <col min="6415" max="6415" width="12.42578125" style="110" customWidth="1"/>
    <col min="6416" max="6416" width="9.140625" style="110" customWidth="1"/>
    <col min="6417" max="6417" width="10.5703125" style="110" customWidth="1"/>
    <col min="6418" max="6418" width="9.140625" style="110" customWidth="1"/>
    <col min="6419" max="6658" width="9.140625" style="110"/>
    <col min="6659" max="6659" width="3.5703125" style="110" customWidth="1"/>
    <col min="6660" max="6660" width="52.42578125" style="110" customWidth="1"/>
    <col min="6661" max="6661" width="22.7109375" style="110" customWidth="1"/>
    <col min="6662" max="6662" width="3.42578125" style="110" customWidth="1"/>
    <col min="6663" max="6663" width="3" style="110" customWidth="1"/>
    <col min="6664" max="6667" width="9.140625" style="110" customWidth="1"/>
    <col min="6668" max="6669" width="10.5703125" style="110" customWidth="1"/>
    <col min="6670" max="6670" width="9.140625" style="110" customWidth="1"/>
    <col min="6671" max="6671" width="12.42578125" style="110" customWidth="1"/>
    <col min="6672" max="6672" width="9.140625" style="110" customWidth="1"/>
    <col min="6673" max="6673" width="10.5703125" style="110" customWidth="1"/>
    <col min="6674" max="6674" width="9.140625" style="110" customWidth="1"/>
    <col min="6675" max="6914" width="9.140625" style="110"/>
    <col min="6915" max="6915" width="3.5703125" style="110" customWidth="1"/>
    <col min="6916" max="6916" width="52.42578125" style="110" customWidth="1"/>
    <col min="6917" max="6917" width="22.7109375" style="110" customWidth="1"/>
    <col min="6918" max="6918" width="3.42578125" style="110" customWidth="1"/>
    <col min="6919" max="6919" width="3" style="110" customWidth="1"/>
    <col min="6920" max="6923" width="9.140625" style="110" customWidth="1"/>
    <col min="6924" max="6925" width="10.5703125" style="110" customWidth="1"/>
    <col min="6926" max="6926" width="9.140625" style="110" customWidth="1"/>
    <col min="6927" max="6927" width="12.42578125" style="110" customWidth="1"/>
    <col min="6928" max="6928" width="9.140625" style="110" customWidth="1"/>
    <col min="6929" max="6929" width="10.5703125" style="110" customWidth="1"/>
    <col min="6930" max="6930" width="9.140625" style="110" customWidth="1"/>
    <col min="6931" max="7170" width="9.140625" style="110"/>
    <col min="7171" max="7171" width="3.5703125" style="110" customWidth="1"/>
    <col min="7172" max="7172" width="52.42578125" style="110" customWidth="1"/>
    <col min="7173" max="7173" width="22.7109375" style="110" customWidth="1"/>
    <col min="7174" max="7174" width="3.42578125" style="110" customWidth="1"/>
    <col min="7175" max="7175" width="3" style="110" customWidth="1"/>
    <col min="7176" max="7179" width="9.140625" style="110" customWidth="1"/>
    <col min="7180" max="7181" width="10.5703125" style="110" customWidth="1"/>
    <col min="7182" max="7182" width="9.140625" style="110" customWidth="1"/>
    <col min="7183" max="7183" width="12.42578125" style="110" customWidth="1"/>
    <col min="7184" max="7184" width="9.140625" style="110" customWidth="1"/>
    <col min="7185" max="7185" width="10.5703125" style="110" customWidth="1"/>
    <col min="7186" max="7186" width="9.140625" style="110" customWidth="1"/>
    <col min="7187" max="7426" width="9.140625" style="110"/>
    <col min="7427" max="7427" width="3.5703125" style="110" customWidth="1"/>
    <col min="7428" max="7428" width="52.42578125" style="110" customWidth="1"/>
    <col min="7429" max="7429" width="22.7109375" style="110" customWidth="1"/>
    <col min="7430" max="7430" width="3.42578125" style="110" customWidth="1"/>
    <col min="7431" max="7431" width="3" style="110" customWidth="1"/>
    <col min="7432" max="7435" width="9.140625" style="110" customWidth="1"/>
    <col min="7436" max="7437" width="10.5703125" style="110" customWidth="1"/>
    <col min="7438" max="7438" width="9.140625" style="110" customWidth="1"/>
    <col min="7439" max="7439" width="12.42578125" style="110" customWidth="1"/>
    <col min="7440" max="7440" width="9.140625" style="110" customWidth="1"/>
    <col min="7441" max="7441" width="10.5703125" style="110" customWidth="1"/>
    <col min="7442" max="7442" width="9.140625" style="110" customWidth="1"/>
    <col min="7443" max="7682" width="9.140625" style="110"/>
    <col min="7683" max="7683" width="3.5703125" style="110" customWidth="1"/>
    <col min="7684" max="7684" width="52.42578125" style="110" customWidth="1"/>
    <col min="7685" max="7685" width="22.7109375" style="110" customWidth="1"/>
    <col min="7686" max="7686" width="3.42578125" style="110" customWidth="1"/>
    <col min="7687" max="7687" width="3" style="110" customWidth="1"/>
    <col min="7688" max="7691" width="9.140625" style="110" customWidth="1"/>
    <col min="7692" max="7693" width="10.5703125" style="110" customWidth="1"/>
    <col min="7694" max="7694" width="9.140625" style="110" customWidth="1"/>
    <col min="7695" max="7695" width="12.42578125" style="110" customWidth="1"/>
    <col min="7696" max="7696" width="9.140625" style="110" customWidth="1"/>
    <col min="7697" max="7697" width="10.5703125" style="110" customWidth="1"/>
    <col min="7698" max="7698" width="9.140625" style="110" customWidth="1"/>
    <col min="7699" max="7938" width="9.140625" style="110"/>
    <col min="7939" max="7939" width="3.5703125" style="110" customWidth="1"/>
    <col min="7940" max="7940" width="52.42578125" style="110" customWidth="1"/>
    <col min="7941" max="7941" width="22.7109375" style="110" customWidth="1"/>
    <col min="7942" max="7942" width="3.42578125" style="110" customWidth="1"/>
    <col min="7943" max="7943" width="3" style="110" customWidth="1"/>
    <col min="7944" max="7947" width="9.140625" style="110" customWidth="1"/>
    <col min="7948" max="7949" width="10.5703125" style="110" customWidth="1"/>
    <col min="7950" max="7950" width="9.140625" style="110" customWidth="1"/>
    <col min="7951" max="7951" width="12.42578125" style="110" customWidth="1"/>
    <col min="7952" max="7952" width="9.140625" style="110" customWidth="1"/>
    <col min="7953" max="7953" width="10.5703125" style="110" customWidth="1"/>
    <col min="7954" max="7954" width="9.140625" style="110" customWidth="1"/>
    <col min="7955" max="8194" width="9.140625" style="110"/>
    <col min="8195" max="8195" width="3.5703125" style="110" customWidth="1"/>
    <col min="8196" max="8196" width="52.42578125" style="110" customWidth="1"/>
    <col min="8197" max="8197" width="22.7109375" style="110" customWidth="1"/>
    <col min="8198" max="8198" width="3.42578125" style="110" customWidth="1"/>
    <col min="8199" max="8199" width="3" style="110" customWidth="1"/>
    <col min="8200" max="8203" width="9.140625" style="110" customWidth="1"/>
    <col min="8204" max="8205" width="10.5703125" style="110" customWidth="1"/>
    <col min="8206" max="8206" width="9.140625" style="110" customWidth="1"/>
    <col min="8207" max="8207" width="12.42578125" style="110" customWidth="1"/>
    <col min="8208" max="8208" width="9.140625" style="110" customWidth="1"/>
    <col min="8209" max="8209" width="10.5703125" style="110" customWidth="1"/>
    <col min="8210" max="8210" width="9.140625" style="110" customWidth="1"/>
    <col min="8211" max="8450" width="9.140625" style="110"/>
    <col min="8451" max="8451" width="3.5703125" style="110" customWidth="1"/>
    <col min="8452" max="8452" width="52.42578125" style="110" customWidth="1"/>
    <col min="8453" max="8453" width="22.7109375" style="110" customWidth="1"/>
    <col min="8454" max="8454" width="3.42578125" style="110" customWidth="1"/>
    <col min="8455" max="8455" width="3" style="110" customWidth="1"/>
    <col min="8456" max="8459" width="9.140625" style="110" customWidth="1"/>
    <col min="8460" max="8461" width="10.5703125" style="110" customWidth="1"/>
    <col min="8462" max="8462" width="9.140625" style="110" customWidth="1"/>
    <col min="8463" max="8463" width="12.42578125" style="110" customWidth="1"/>
    <col min="8464" max="8464" width="9.140625" style="110" customWidth="1"/>
    <col min="8465" max="8465" width="10.5703125" style="110" customWidth="1"/>
    <col min="8466" max="8466" width="9.140625" style="110" customWidth="1"/>
    <col min="8467" max="8706" width="9.140625" style="110"/>
    <col min="8707" max="8707" width="3.5703125" style="110" customWidth="1"/>
    <col min="8708" max="8708" width="52.42578125" style="110" customWidth="1"/>
    <col min="8709" max="8709" width="22.7109375" style="110" customWidth="1"/>
    <col min="8710" max="8710" width="3.42578125" style="110" customWidth="1"/>
    <col min="8711" max="8711" width="3" style="110" customWidth="1"/>
    <col min="8712" max="8715" width="9.140625" style="110" customWidth="1"/>
    <col min="8716" max="8717" width="10.5703125" style="110" customWidth="1"/>
    <col min="8718" max="8718" width="9.140625" style="110" customWidth="1"/>
    <col min="8719" max="8719" width="12.42578125" style="110" customWidth="1"/>
    <col min="8720" max="8720" width="9.140625" style="110" customWidth="1"/>
    <col min="8721" max="8721" width="10.5703125" style="110" customWidth="1"/>
    <col min="8722" max="8722" width="9.140625" style="110" customWidth="1"/>
    <col min="8723" max="8962" width="9.140625" style="110"/>
    <col min="8963" max="8963" width="3.5703125" style="110" customWidth="1"/>
    <col min="8964" max="8964" width="52.42578125" style="110" customWidth="1"/>
    <col min="8965" max="8965" width="22.7109375" style="110" customWidth="1"/>
    <col min="8966" max="8966" width="3.42578125" style="110" customWidth="1"/>
    <col min="8967" max="8967" width="3" style="110" customWidth="1"/>
    <col min="8968" max="8971" width="9.140625" style="110" customWidth="1"/>
    <col min="8972" max="8973" width="10.5703125" style="110" customWidth="1"/>
    <col min="8974" max="8974" width="9.140625" style="110" customWidth="1"/>
    <col min="8975" max="8975" width="12.42578125" style="110" customWidth="1"/>
    <col min="8976" max="8976" width="9.140625" style="110" customWidth="1"/>
    <col min="8977" max="8977" width="10.5703125" style="110" customWidth="1"/>
    <col min="8978" max="8978" width="9.140625" style="110" customWidth="1"/>
    <col min="8979" max="9218" width="9.140625" style="110"/>
    <col min="9219" max="9219" width="3.5703125" style="110" customWidth="1"/>
    <col min="9220" max="9220" width="52.42578125" style="110" customWidth="1"/>
    <col min="9221" max="9221" width="22.7109375" style="110" customWidth="1"/>
    <col min="9222" max="9222" width="3.42578125" style="110" customWidth="1"/>
    <col min="9223" max="9223" width="3" style="110" customWidth="1"/>
    <col min="9224" max="9227" width="9.140625" style="110" customWidth="1"/>
    <col min="9228" max="9229" width="10.5703125" style="110" customWidth="1"/>
    <col min="9230" max="9230" width="9.140625" style="110" customWidth="1"/>
    <col min="9231" max="9231" width="12.42578125" style="110" customWidth="1"/>
    <col min="9232" max="9232" width="9.140625" style="110" customWidth="1"/>
    <col min="9233" max="9233" width="10.5703125" style="110" customWidth="1"/>
    <col min="9234" max="9234" width="9.140625" style="110" customWidth="1"/>
    <col min="9235" max="9474" width="9.140625" style="110"/>
    <col min="9475" max="9475" width="3.5703125" style="110" customWidth="1"/>
    <col min="9476" max="9476" width="52.42578125" style="110" customWidth="1"/>
    <col min="9477" max="9477" width="22.7109375" style="110" customWidth="1"/>
    <col min="9478" max="9478" width="3.42578125" style="110" customWidth="1"/>
    <col min="9479" max="9479" width="3" style="110" customWidth="1"/>
    <col min="9480" max="9483" width="9.140625" style="110" customWidth="1"/>
    <col min="9484" max="9485" width="10.5703125" style="110" customWidth="1"/>
    <col min="9486" max="9486" width="9.140625" style="110" customWidth="1"/>
    <col min="9487" max="9487" width="12.42578125" style="110" customWidth="1"/>
    <col min="9488" max="9488" width="9.140625" style="110" customWidth="1"/>
    <col min="9489" max="9489" width="10.5703125" style="110" customWidth="1"/>
    <col min="9490" max="9490" width="9.140625" style="110" customWidth="1"/>
    <col min="9491" max="9730" width="9.140625" style="110"/>
    <col min="9731" max="9731" width="3.5703125" style="110" customWidth="1"/>
    <col min="9732" max="9732" width="52.42578125" style="110" customWidth="1"/>
    <col min="9733" max="9733" width="22.7109375" style="110" customWidth="1"/>
    <col min="9734" max="9734" width="3.42578125" style="110" customWidth="1"/>
    <col min="9735" max="9735" width="3" style="110" customWidth="1"/>
    <col min="9736" max="9739" width="9.140625" style="110" customWidth="1"/>
    <col min="9740" max="9741" width="10.5703125" style="110" customWidth="1"/>
    <col min="9742" max="9742" width="9.140625" style="110" customWidth="1"/>
    <col min="9743" max="9743" width="12.42578125" style="110" customWidth="1"/>
    <col min="9744" max="9744" width="9.140625" style="110" customWidth="1"/>
    <col min="9745" max="9745" width="10.5703125" style="110" customWidth="1"/>
    <col min="9746" max="9746" width="9.140625" style="110" customWidth="1"/>
    <col min="9747" max="9986" width="9.140625" style="110"/>
    <col min="9987" max="9987" width="3.5703125" style="110" customWidth="1"/>
    <col min="9988" max="9988" width="52.42578125" style="110" customWidth="1"/>
    <col min="9989" max="9989" width="22.7109375" style="110" customWidth="1"/>
    <col min="9990" max="9990" width="3.42578125" style="110" customWidth="1"/>
    <col min="9991" max="9991" width="3" style="110" customWidth="1"/>
    <col min="9992" max="9995" width="9.140625" style="110" customWidth="1"/>
    <col min="9996" max="9997" width="10.5703125" style="110" customWidth="1"/>
    <col min="9998" max="9998" width="9.140625" style="110" customWidth="1"/>
    <col min="9999" max="9999" width="12.42578125" style="110" customWidth="1"/>
    <col min="10000" max="10000" width="9.140625" style="110" customWidth="1"/>
    <col min="10001" max="10001" width="10.5703125" style="110" customWidth="1"/>
    <col min="10002" max="10002" width="9.140625" style="110" customWidth="1"/>
    <col min="10003" max="10242" width="9.140625" style="110"/>
    <col min="10243" max="10243" width="3.5703125" style="110" customWidth="1"/>
    <col min="10244" max="10244" width="52.42578125" style="110" customWidth="1"/>
    <col min="10245" max="10245" width="22.7109375" style="110" customWidth="1"/>
    <col min="10246" max="10246" width="3.42578125" style="110" customWidth="1"/>
    <col min="10247" max="10247" width="3" style="110" customWidth="1"/>
    <col min="10248" max="10251" width="9.140625" style="110" customWidth="1"/>
    <col min="10252" max="10253" width="10.5703125" style="110" customWidth="1"/>
    <col min="10254" max="10254" width="9.140625" style="110" customWidth="1"/>
    <col min="10255" max="10255" width="12.42578125" style="110" customWidth="1"/>
    <col min="10256" max="10256" width="9.140625" style="110" customWidth="1"/>
    <col min="10257" max="10257" width="10.5703125" style="110" customWidth="1"/>
    <col min="10258" max="10258" width="9.140625" style="110" customWidth="1"/>
    <col min="10259" max="10498" width="9.140625" style="110"/>
    <col min="10499" max="10499" width="3.5703125" style="110" customWidth="1"/>
    <col min="10500" max="10500" width="52.42578125" style="110" customWidth="1"/>
    <col min="10501" max="10501" width="22.7109375" style="110" customWidth="1"/>
    <col min="10502" max="10502" width="3.42578125" style="110" customWidth="1"/>
    <col min="10503" max="10503" width="3" style="110" customWidth="1"/>
    <col min="10504" max="10507" width="9.140625" style="110" customWidth="1"/>
    <col min="10508" max="10509" width="10.5703125" style="110" customWidth="1"/>
    <col min="10510" max="10510" width="9.140625" style="110" customWidth="1"/>
    <col min="10511" max="10511" width="12.42578125" style="110" customWidth="1"/>
    <col min="10512" max="10512" width="9.140625" style="110" customWidth="1"/>
    <col min="10513" max="10513" width="10.5703125" style="110" customWidth="1"/>
    <col min="10514" max="10514" width="9.140625" style="110" customWidth="1"/>
    <col min="10515" max="10754" width="9.140625" style="110"/>
    <col min="10755" max="10755" width="3.5703125" style="110" customWidth="1"/>
    <col min="10756" max="10756" width="52.42578125" style="110" customWidth="1"/>
    <col min="10757" max="10757" width="22.7109375" style="110" customWidth="1"/>
    <col min="10758" max="10758" width="3.42578125" style="110" customWidth="1"/>
    <col min="10759" max="10759" width="3" style="110" customWidth="1"/>
    <col min="10760" max="10763" width="9.140625" style="110" customWidth="1"/>
    <col min="10764" max="10765" width="10.5703125" style="110" customWidth="1"/>
    <col min="10766" max="10766" width="9.140625" style="110" customWidth="1"/>
    <col min="10767" max="10767" width="12.42578125" style="110" customWidth="1"/>
    <col min="10768" max="10768" width="9.140625" style="110" customWidth="1"/>
    <col min="10769" max="10769" width="10.5703125" style="110" customWidth="1"/>
    <col min="10770" max="10770" width="9.140625" style="110" customWidth="1"/>
    <col min="10771" max="11010" width="9.140625" style="110"/>
    <col min="11011" max="11011" width="3.5703125" style="110" customWidth="1"/>
    <col min="11012" max="11012" width="52.42578125" style="110" customWidth="1"/>
    <col min="11013" max="11013" width="22.7109375" style="110" customWidth="1"/>
    <col min="11014" max="11014" width="3.42578125" style="110" customWidth="1"/>
    <col min="11015" max="11015" width="3" style="110" customWidth="1"/>
    <col min="11016" max="11019" width="9.140625" style="110" customWidth="1"/>
    <col min="11020" max="11021" width="10.5703125" style="110" customWidth="1"/>
    <col min="11022" max="11022" width="9.140625" style="110" customWidth="1"/>
    <col min="11023" max="11023" width="12.42578125" style="110" customWidth="1"/>
    <col min="11024" max="11024" width="9.140625" style="110" customWidth="1"/>
    <col min="11025" max="11025" width="10.5703125" style="110" customWidth="1"/>
    <col min="11026" max="11026" width="9.140625" style="110" customWidth="1"/>
    <col min="11027" max="11266" width="9.140625" style="110"/>
    <col min="11267" max="11267" width="3.5703125" style="110" customWidth="1"/>
    <col min="11268" max="11268" width="52.42578125" style="110" customWidth="1"/>
    <col min="11269" max="11269" width="22.7109375" style="110" customWidth="1"/>
    <col min="11270" max="11270" width="3.42578125" style="110" customWidth="1"/>
    <col min="11271" max="11271" width="3" style="110" customWidth="1"/>
    <col min="11272" max="11275" width="9.140625" style="110" customWidth="1"/>
    <col min="11276" max="11277" width="10.5703125" style="110" customWidth="1"/>
    <col min="11278" max="11278" width="9.140625" style="110" customWidth="1"/>
    <col min="11279" max="11279" width="12.42578125" style="110" customWidth="1"/>
    <col min="11280" max="11280" width="9.140625" style="110" customWidth="1"/>
    <col min="11281" max="11281" width="10.5703125" style="110" customWidth="1"/>
    <col min="11282" max="11282" width="9.140625" style="110" customWidth="1"/>
    <col min="11283" max="11522" width="9.140625" style="110"/>
    <col min="11523" max="11523" width="3.5703125" style="110" customWidth="1"/>
    <col min="11524" max="11524" width="52.42578125" style="110" customWidth="1"/>
    <col min="11525" max="11525" width="22.7109375" style="110" customWidth="1"/>
    <col min="11526" max="11526" width="3.42578125" style="110" customWidth="1"/>
    <col min="11527" max="11527" width="3" style="110" customWidth="1"/>
    <col min="11528" max="11531" width="9.140625" style="110" customWidth="1"/>
    <col min="11532" max="11533" width="10.5703125" style="110" customWidth="1"/>
    <col min="11534" max="11534" width="9.140625" style="110" customWidth="1"/>
    <col min="11535" max="11535" width="12.42578125" style="110" customWidth="1"/>
    <col min="11536" max="11536" width="9.140625" style="110" customWidth="1"/>
    <col min="11537" max="11537" width="10.5703125" style="110" customWidth="1"/>
    <col min="11538" max="11538" width="9.140625" style="110" customWidth="1"/>
    <col min="11539" max="11778" width="9.140625" style="110"/>
    <col min="11779" max="11779" width="3.5703125" style="110" customWidth="1"/>
    <col min="11780" max="11780" width="52.42578125" style="110" customWidth="1"/>
    <col min="11781" max="11781" width="22.7109375" style="110" customWidth="1"/>
    <col min="11782" max="11782" width="3.42578125" style="110" customWidth="1"/>
    <col min="11783" max="11783" width="3" style="110" customWidth="1"/>
    <col min="11784" max="11787" width="9.140625" style="110" customWidth="1"/>
    <col min="11788" max="11789" width="10.5703125" style="110" customWidth="1"/>
    <col min="11790" max="11790" width="9.140625" style="110" customWidth="1"/>
    <col min="11791" max="11791" width="12.42578125" style="110" customWidth="1"/>
    <col min="11792" max="11792" width="9.140625" style="110" customWidth="1"/>
    <col min="11793" max="11793" width="10.5703125" style="110" customWidth="1"/>
    <col min="11794" max="11794" width="9.140625" style="110" customWidth="1"/>
    <col min="11795" max="12034" width="9.140625" style="110"/>
    <col min="12035" max="12035" width="3.5703125" style="110" customWidth="1"/>
    <col min="12036" max="12036" width="52.42578125" style="110" customWidth="1"/>
    <col min="12037" max="12037" width="22.7109375" style="110" customWidth="1"/>
    <col min="12038" max="12038" width="3.42578125" style="110" customWidth="1"/>
    <col min="12039" max="12039" width="3" style="110" customWidth="1"/>
    <col min="12040" max="12043" width="9.140625" style="110" customWidth="1"/>
    <col min="12044" max="12045" width="10.5703125" style="110" customWidth="1"/>
    <col min="12046" max="12046" width="9.140625" style="110" customWidth="1"/>
    <col min="12047" max="12047" width="12.42578125" style="110" customWidth="1"/>
    <col min="12048" max="12048" width="9.140625" style="110" customWidth="1"/>
    <col min="12049" max="12049" width="10.5703125" style="110" customWidth="1"/>
    <col min="12050" max="12050" width="9.140625" style="110" customWidth="1"/>
    <col min="12051" max="12290" width="9.140625" style="110"/>
    <col min="12291" max="12291" width="3.5703125" style="110" customWidth="1"/>
    <col min="12292" max="12292" width="52.42578125" style="110" customWidth="1"/>
    <col min="12293" max="12293" width="22.7109375" style="110" customWidth="1"/>
    <col min="12294" max="12294" width="3.42578125" style="110" customWidth="1"/>
    <col min="12295" max="12295" width="3" style="110" customWidth="1"/>
    <col min="12296" max="12299" width="9.140625" style="110" customWidth="1"/>
    <col min="12300" max="12301" width="10.5703125" style="110" customWidth="1"/>
    <col min="12302" max="12302" width="9.140625" style="110" customWidth="1"/>
    <col min="12303" max="12303" width="12.42578125" style="110" customWidth="1"/>
    <col min="12304" max="12304" width="9.140625" style="110" customWidth="1"/>
    <col min="12305" max="12305" width="10.5703125" style="110" customWidth="1"/>
    <col min="12306" max="12306" width="9.140625" style="110" customWidth="1"/>
    <col min="12307" max="12546" width="9.140625" style="110"/>
    <col min="12547" max="12547" width="3.5703125" style="110" customWidth="1"/>
    <col min="12548" max="12548" width="52.42578125" style="110" customWidth="1"/>
    <col min="12549" max="12549" width="22.7109375" style="110" customWidth="1"/>
    <col min="12550" max="12550" width="3.42578125" style="110" customWidth="1"/>
    <col min="12551" max="12551" width="3" style="110" customWidth="1"/>
    <col min="12552" max="12555" width="9.140625" style="110" customWidth="1"/>
    <col min="12556" max="12557" width="10.5703125" style="110" customWidth="1"/>
    <col min="12558" max="12558" width="9.140625" style="110" customWidth="1"/>
    <col min="12559" max="12559" width="12.42578125" style="110" customWidth="1"/>
    <col min="12560" max="12560" width="9.140625" style="110" customWidth="1"/>
    <col min="12561" max="12561" width="10.5703125" style="110" customWidth="1"/>
    <col min="12562" max="12562" width="9.140625" style="110" customWidth="1"/>
    <col min="12563" max="12802" width="9.140625" style="110"/>
    <col min="12803" max="12803" width="3.5703125" style="110" customWidth="1"/>
    <col min="12804" max="12804" width="52.42578125" style="110" customWidth="1"/>
    <col min="12805" max="12805" width="22.7109375" style="110" customWidth="1"/>
    <col min="12806" max="12806" width="3.42578125" style="110" customWidth="1"/>
    <col min="12807" max="12807" width="3" style="110" customWidth="1"/>
    <col min="12808" max="12811" width="9.140625" style="110" customWidth="1"/>
    <col min="12812" max="12813" width="10.5703125" style="110" customWidth="1"/>
    <col min="12814" max="12814" width="9.140625" style="110" customWidth="1"/>
    <col min="12815" max="12815" width="12.42578125" style="110" customWidth="1"/>
    <col min="12816" max="12816" width="9.140625" style="110" customWidth="1"/>
    <col min="12817" max="12817" width="10.5703125" style="110" customWidth="1"/>
    <col min="12818" max="12818" width="9.140625" style="110" customWidth="1"/>
    <col min="12819" max="13058" width="9.140625" style="110"/>
    <col min="13059" max="13059" width="3.5703125" style="110" customWidth="1"/>
    <col min="13060" max="13060" width="52.42578125" style="110" customWidth="1"/>
    <col min="13061" max="13061" width="22.7109375" style="110" customWidth="1"/>
    <col min="13062" max="13062" width="3.42578125" style="110" customWidth="1"/>
    <col min="13063" max="13063" width="3" style="110" customWidth="1"/>
    <col min="13064" max="13067" width="9.140625" style="110" customWidth="1"/>
    <col min="13068" max="13069" width="10.5703125" style="110" customWidth="1"/>
    <col min="13070" max="13070" width="9.140625" style="110" customWidth="1"/>
    <col min="13071" max="13071" width="12.42578125" style="110" customWidth="1"/>
    <col min="13072" max="13072" width="9.140625" style="110" customWidth="1"/>
    <col min="13073" max="13073" width="10.5703125" style="110" customWidth="1"/>
    <col min="13074" max="13074" width="9.140625" style="110" customWidth="1"/>
    <col min="13075" max="13314" width="9.140625" style="110"/>
    <col min="13315" max="13315" width="3.5703125" style="110" customWidth="1"/>
    <col min="13316" max="13316" width="52.42578125" style="110" customWidth="1"/>
    <col min="13317" max="13317" width="22.7109375" style="110" customWidth="1"/>
    <col min="13318" max="13318" width="3.42578125" style="110" customWidth="1"/>
    <col min="13319" max="13319" width="3" style="110" customWidth="1"/>
    <col min="13320" max="13323" width="9.140625" style="110" customWidth="1"/>
    <col min="13324" max="13325" width="10.5703125" style="110" customWidth="1"/>
    <col min="13326" max="13326" width="9.140625" style="110" customWidth="1"/>
    <col min="13327" max="13327" width="12.42578125" style="110" customWidth="1"/>
    <col min="13328" max="13328" width="9.140625" style="110" customWidth="1"/>
    <col min="13329" max="13329" width="10.5703125" style="110" customWidth="1"/>
    <col min="13330" max="13330" width="9.140625" style="110" customWidth="1"/>
    <col min="13331" max="13570" width="9.140625" style="110"/>
    <col min="13571" max="13571" width="3.5703125" style="110" customWidth="1"/>
    <col min="13572" max="13572" width="52.42578125" style="110" customWidth="1"/>
    <col min="13573" max="13573" width="22.7109375" style="110" customWidth="1"/>
    <col min="13574" max="13574" width="3.42578125" style="110" customWidth="1"/>
    <col min="13575" max="13575" width="3" style="110" customWidth="1"/>
    <col min="13576" max="13579" width="9.140625" style="110" customWidth="1"/>
    <col min="13580" max="13581" width="10.5703125" style="110" customWidth="1"/>
    <col min="13582" max="13582" width="9.140625" style="110" customWidth="1"/>
    <col min="13583" max="13583" width="12.42578125" style="110" customWidth="1"/>
    <col min="13584" max="13584" width="9.140625" style="110" customWidth="1"/>
    <col min="13585" max="13585" width="10.5703125" style="110" customWidth="1"/>
    <col min="13586" max="13586" width="9.140625" style="110" customWidth="1"/>
    <col min="13587" max="13826" width="9.140625" style="110"/>
    <col min="13827" max="13827" width="3.5703125" style="110" customWidth="1"/>
    <col min="13828" max="13828" width="52.42578125" style="110" customWidth="1"/>
    <col min="13829" max="13829" width="22.7109375" style="110" customWidth="1"/>
    <col min="13830" max="13830" width="3.42578125" style="110" customWidth="1"/>
    <col min="13831" max="13831" width="3" style="110" customWidth="1"/>
    <col min="13832" max="13835" width="9.140625" style="110" customWidth="1"/>
    <col min="13836" max="13837" width="10.5703125" style="110" customWidth="1"/>
    <col min="13838" max="13838" width="9.140625" style="110" customWidth="1"/>
    <col min="13839" max="13839" width="12.42578125" style="110" customWidth="1"/>
    <col min="13840" max="13840" width="9.140625" style="110" customWidth="1"/>
    <col min="13841" max="13841" width="10.5703125" style="110" customWidth="1"/>
    <col min="13842" max="13842" width="9.140625" style="110" customWidth="1"/>
    <col min="13843" max="14082" width="9.140625" style="110"/>
    <col min="14083" max="14083" width="3.5703125" style="110" customWidth="1"/>
    <col min="14084" max="14084" width="52.42578125" style="110" customWidth="1"/>
    <col min="14085" max="14085" width="22.7109375" style="110" customWidth="1"/>
    <col min="14086" max="14086" width="3.42578125" style="110" customWidth="1"/>
    <col min="14087" max="14087" width="3" style="110" customWidth="1"/>
    <col min="14088" max="14091" width="9.140625" style="110" customWidth="1"/>
    <col min="14092" max="14093" width="10.5703125" style="110" customWidth="1"/>
    <col min="14094" max="14094" width="9.140625" style="110" customWidth="1"/>
    <col min="14095" max="14095" width="12.42578125" style="110" customWidth="1"/>
    <col min="14096" max="14096" width="9.140625" style="110" customWidth="1"/>
    <col min="14097" max="14097" width="10.5703125" style="110" customWidth="1"/>
    <col min="14098" max="14098" width="9.140625" style="110" customWidth="1"/>
    <col min="14099" max="14338" width="9.140625" style="110"/>
    <col min="14339" max="14339" width="3.5703125" style="110" customWidth="1"/>
    <col min="14340" max="14340" width="52.42578125" style="110" customWidth="1"/>
    <col min="14341" max="14341" width="22.7109375" style="110" customWidth="1"/>
    <col min="14342" max="14342" width="3.42578125" style="110" customWidth="1"/>
    <col min="14343" max="14343" width="3" style="110" customWidth="1"/>
    <col min="14344" max="14347" width="9.140625" style="110" customWidth="1"/>
    <col min="14348" max="14349" width="10.5703125" style="110" customWidth="1"/>
    <col min="14350" max="14350" width="9.140625" style="110" customWidth="1"/>
    <col min="14351" max="14351" width="12.42578125" style="110" customWidth="1"/>
    <col min="14352" max="14352" width="9.140625" style="110" customWidth="1"/>
    <col min="14353" max="14353" width="10.5703125" style="110" customWidth="1"/>
    <col min="14354" max="14354" width="9.140625" style="110" customWidth="1"/>
    <col min="14355" max="14594" width="9.140625" style="110"/>
    <col min="14595" max="14595" width="3.5703125" style="110" customWidth="1"/>
    <col min="14596" max="14596" width="52.42578125" style="110" customWidth="1"/>
    <col min="14597" max="14597" width="22.7109375" style="110" customWidth="1"/>
    <col min="14598" max="14598" width="3.42578125" style="110" customWidth="1"/>
    <col min="14599" max="14599" width="3" style="110" customWidth="1"/>
    <col min="14600" max="14603" width="9.140625" style="110" customWidth="1"/>
    <col min="14604" max="14605" width="10.5703125" style="110" customWidth="1"/>
    <col min="14606" max="14606" width="9.140625" style="110" customWidth="1"/>
    <col min="14607" max="14607" width="12.42578125" style="110" customWidth="1"/>
    <col min="14608" max="14608" width="9.140625" style="110" customWidth="1"/>
    <col min="14609" max="14609" width="10.5703125" style="110" customWidth="1"/>
    <col min="14610" max="14610" width="9.140625" style="110" customWidth="1"/>
    <col min="14611" max="14850" width="9.140625" style="110"/>
    <col min="14851" max="14851" width="3.5703125" style="110" customWidth="1"/>
    <col min="14852" max="14852" width="52.42578125" style="110" customWidth="1"/>
    <col min="14853" max="14853" width="22.7109375" style="110" customWidth="1"/>
    <col min="14854" max="14854" width="3.42578125" style="110" customWidth="1"/>
    <col min="14855" max="14855" width="3" style="110" customWidth="1"/>
    <col min="14856" max="14859" width="9.140625" style="110" customWidth="1"/>
    <col min="14860" max="14861" width="10.5703125" style="110" customWidth="1"/>
    <col min="14862" max="14862" width="9.140625" style="110" customWidth="1"/>
    <col min="14863" max="14863" width="12.42578125" style="110" customWidth="1"/>
    <col min="14864" max="14864" width="9.140625" style="110" customWidth="1"/>
    <col min="14865" max="14865" width="10.5703125" style="110" customWidth="1"/>
    <col min="14866" max="14866" width="9.140625" style="110" customWidth="1"/>
    <col min="14867" max="15106" width="9.140625" style="110"/>
    <col min="15107" max="15107" width="3.5703125" style="110" customWidth="1"/>
    <col min="15108" max="15108" width="52.42578125" style="110" customWidth="1"/>
    <col min="15109" max="15109" width="22.7109375" style="110" customWidth="1"/>
    <col min="15110" max="15110" width="3.42578125" style="110" customWidth="1"/>
    <col min="15111" max="15111" width="3" style="110" customWidth="1"/>
    <col min="15112" max="15115" width="9.140625" style="110" customWidth="1"/>
    <col min="15116" max="15117" width="10.5703125" style="110" customWidth="1"/>
    <col min="15118" max="15118" width="9.140625" style="110" customWidth="1"/>
    <col min="15119" max="15119" width="12.42578125" style="110" customWidth="1"/>
    <col min="15120" max="15120" width="9.140625" style="110" customWidth="1"/>
    <col min="15121" max="15121" width="10.5703125" style="110" customWidth="1"/>
    <col min="15122" max="15122" width="9.140625" style="110" customWidth="1"/>
    <col min="15123" max="15362" width="9.140625" style="110"/>
    <col min="15363" max="15363" width="3.5703125" style="110" customWidth="1"/>
    <col min="15364" max="15364" width="52.42578125" style="110" customWidth="1"/>
    <col min="15365" max="15365" width="22.7109375" style="110" customWidth="1"/>
    <col min="15366" max="15366" width="3.42578125" style="110" customWidth="1"/>
    <col min="15367" max="15367" width="3" style="110" customWidth="1"/>
    <col min="15368" max="15371" width="9.140625" style="110" customWidth="1"/>
    <col min="15372" max="15373" width="10.5703125" style="110" customWidth="1"/>
    <col min="15374" max="15374" width="9.140625" style="110" customWidth="1"/>
    <col min="15375" max="15375" width="12.42578125" style="110" customWidth="1"/>
    <col min="15376" max="15376" width="9.140625" style="110" customWidth="1"/>
    <col min="15377" max="15377" width="10.5703125" style="110" customWidth="1"/>
    <col min="15378" max="15378" width="9.140625" style="110" customWidth="1"/>
    <col min="15379" max="15618" width="9.140625" style="110"/>
    <col min="15619" max="15619" width="3.5703125" style="110" customWidth="1"/>
    <col min="15620" max="15620" width="52.42578125" style="110" customWidth="1"/>
    <col min="15621" max="15621" width="22.7109375" style="110" customWidth="1"/>
    <col min="15622" max="15622" width="3.42578125" style="110" customWidth="1"/>
    <col min="15623" max="15623" width="3" style="110" customWidth="1"/>
    <col min="15624" max="15627" width="9.140625" style="110" customWidth="1"/>
    <col min="15628" max="15629" width="10.5703125" style="110" customWidth="1"/>
    <col min="15630" max="15630" width="9.140625" style="110" customWidth="1"/>
    <col min="15631" max="15631" width="12.42578125" style="110" customWidth="1"/>
    <col min="15632" max="15632" width="9.140625" style="110" customWidth="1"/>
    <col min="15633" max="15633" width="10.5703125" style="110" customWidth="1"/>
    <col min="15634" max="15634" width="9.140625" style="110" customWidth="1"/>
    <col min="15635" max="15874" width="9.140625" style="110"/>
    <col min="15875" max="15875" width="3.5703125" style="110" customWidth="1"/>
    <col min="15876" max="15876" width="52.42578125" style="110" customWidth="1"/>
    <col min="15877" max="15877" width="22.7109375" style="110" customWidth="1"/>
    <col min="15878" max="15878" width="3.42578125" style="110" customWidth="1"/>
    <col min="15879" max="15879" width="3" style="110" customWidth="1"/>
    <col min="15880" max="15883" width="9.140625" style="110" customWidth="1"/>
    <col min="15884" max="15885" width="10.5703125" style="110" customWidth="1"/>
    <col min="15886" max="15886" width="9.140625" style="110" customWidth="1"/>
    <col min="15887" max="15887" width="12.42578125" style="110" customWidth="1"/>
    <col min="15888" max="15888" width="9.140625" style="110" customWidth="1"/>
    <col min="15889" max="15889" width="10.5703125" style="110" customWidth="1"/>
    <col min="15890" max="15890" width="9.140625" style="110" customWidth="1"/>
    <col min="15891" max="16130" width="9.140625" style="110"/>
    <col min="16131" max="16131" width="3.5703125" style="110" customWidth="1"/>
    <col min="16132" max="16132" width="52.42578125" style="110" customWidth="1"/>
    <col min="16133" max="16133" width="22.7109375" style="110" customWidth="1"/>
    <col min="16134" max="16134" width="3.42578125" style="110" customWidth="1"/>
    <col min="16135" max="16135" width="3" style="110" customWidth="1"/>
    <col min="16136" max="16139" width="9.140625" style="110" customWidth="1"/>
    <col min="16140" max="16141" width="10.5703125" style="110" customWidth="1"/>
    <col min="16142" max="16142" width="9.140625" style="110" customWidth="1"/>
    <col min="16143" max="16143" width="12.42578125" style="110" customWidth="1"/>
    <col min="16144" max="16144" width="9.140625" style="110" customWidth="1"/>
    <col min="16145" max="16145" width="10.5703125" style="110" customWidth="1"/>
    <col min="16146" max="16146" width="9.140625" style="110" customWidth="1"/>
    <col min="16147" max="16384" width="9.140625" style="110"/>
  </cols>
  <sheetData>
    <row r="2" spans="1:18" ht="15" customHeight="1" x14ac:dyDescent="0.25">
      <c r="B2" s="253" t="s">
        <v>841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:18" s="112" customFormat="1" ht="15" customHeight="1" x14ac:dyDescent="0.25">
      <c r="B3" s="254" t="s">
        <v>595</v>
      </c>
      <c r="C3" s="254"/>
      <c r="D3" s="254"/>
      <c r="E3" s="254" t="s">
        <v>716</v>
      </c>
      <c r="F3" s="254" t="s">
        <v>468</v>
      </c>
      <c r="G3" s="254" t="s">
        <v>1</v>
      </c>
      <c r="H3" s="254"/>
      <c r="I3" s="254"/>
      <c r="J3" s="254"/>
      <c r="K3" s="254" t="s">
        <v>656</v>
      </c>
      <c r="L3" s="254"/>
      <c r="M3" s="254"/>
      <c r="N3" s="254"/>
      <c r="O3" s="254" t="s">
        <v>657</v>
      </c>
      <c r="P3" s="254"/>
      <c r="Q3" s="254"/>
      <c r="R3" s="254"/>
    </row>
    <row r="4" spans="1:18" s="112" customFormat="1" ht="15" customHeight="1" x14ac:dyDescent="0.25">
      <c r="B4" s="254"/>
      <c r="C4" s="254"/>
      <c r="D4" s="254"/>
      <c r="E4" s="254"/>
      <c r="F4" s="254"/>
      <c r="G4" s="143" t="s">
        <v>165</v>
      </c>
      <c r="H4" s="143" t="s">
        <v>715</v>
      </c>
      <c r="I4" s="143" t="s">
        <v>166</v>
      </c>
      <c r="J4" s="143" t="s">
        <v>717</v>
      </c>
      <c r="K4" s="143" t="s">
        <v>165</v>
      </c>
      <c r="L4" s="143" t="s">
        <v>715</v>
      </c>
      <c r="M4" s="143" t="s">
        <v>166</v>
      </c>
      <c r="N4" s="143" t="s">
        <v>717</v>
      </c>
      <c r="O4" s="143" t="s">
        <v>165</v>
      </c>
      <c r="P4" s="143" t="s">
        <v>715</v>
      </c>
      <c r="Q4" s="143" t="s">
        <v>166</v>
      </c>
      <c r="R4" s="143" t="s">
        <v>717</v>
      </c>
    </row>
    <row r="5" spans="1:18" s="112" customFormat="1" x14ac:dyDescent="0.25">
      <c r="A5" s="113"/>
      <c r="B5" s="136" t="s">
        <v>622</v>
      </c>
      <c r="C5" s="135">
        <v>3</v>
      </c>
      <c r="D5" s="135" t="s">
        <v>718</v>
      </c>
      <c r="E5" s="135"/>
      <c r="F5" s="135">
        <v>1000</v>
      </c>
      <c r="G5" s="135">
        <v>0</v>
      </c>
      <c r="H5" s="135">
        <v>0</v>
      </c>
      <c r="I5" s="135">
        <v>20</v>
      </c>
      <c r="J5" s="135">
        <v>20</v>
      </c>
      <c r="K5" s="136">
        <f>IF($F5*G5&gt;0,$F5*G5,0)</f>
        <v>0</v>
      </c>
      <c r="L5" s="136">
        <f t="shared" ref="L5:N5" si="0">IF($F5*H5&gt;0,$F5*H5,0)</f>
        <v>0</v>
      </c>
      <c r="M5" s="136">
        <f t="shared" si="0"/>
        <v>20000</v>
      </c>
      <c r="N5" s="136">
        <f t="shared" si="0"/>
        <v>20000</v>
      </c>
      <c r="O5" s="136">
        <f>IF($D5="e",K5/$E5,0)</f>
        <v>0</v>
      </c>
      <c r="P5" s="136">
        <f t="shared" ref="P5:R5" si="1">IF($D5="e",L5/$E5,0)</f>
        <v>0</v>
      </c>
      <c r="Q5" s="136">
        <f t="shared" si="1"/>
        <v>0</v>
      </c>
      <c r="R5" s="136">
        <f t="shared" si="1"/>
        <v>0</v>
      </c>
    </row>
    <row r="6" spans="1:18" x14ac:dyDescent="0.25">
      <c r="A6" s="111"/>
      <c r="B6" s="136" t="s">
        <v>719</v>
      </c>
      <c r="C6" s="135">
        <v>5</v>
      </c>
      <c r="D6" s="135" t="s">
        <v>720</v>
      </c>
      <c r="E6" s="135">
        <v>3</v>
      </c>
      <c r="F6" s="135">
        <v>550</v>
      </c>
      <c r="G6" s="135">
        <v>1</v>
      </c>
      <c r="H6" s="135">
        <v>1</v>
      </c>
      <c r="I6" s="135">
        <v>2</v>
      </c>
      <c r="J6" s="135">
        <v>2</v>
      </c>
      <c r="K6" s="136">
        <f t="shared" ref="K6:K69" si="2">IF($F6*G6&gt;0,$F6*G6,0)</f>
        <v>550</v>
      </c>
      <c r="L6" s="136">
        <f t="shared" ref="L6:L69" si="3">IF($F6*H6&gt;0,$F6*H6,0)</f>
        <v>550</v>
      </c>
      <c r="M6" s="136">
        <f t="shared" ref="M6:M69" si="4">IF($F6*I6&gt;0,$F6*I6,0)</f>
        <v>1100</v>
      </c>
      <c r="N6" s="136">
        <f t="shared" ref="N6:N69" si="5">IF($F6*J6&gt;0,$F6*J6,0)</f>
        <v>1100</v>
      </c>
      <c r="O6" s="136">
        <f t="shared" ref="O6:O69" si="6">IF($D6="e",K6/$E6,0)</f>
        <v>183.33333333333334</v>
      </c>
      <c r="P6" s="136">
        <f t="shared" ref="P6:P69" si="7">IF($D6="e",L6/$E6,0)</f>
        <v>183.33333333333334</v>
      </c>
      <c r="Q6" s="136">
        <f t="shared" ref="Q6:Q69" si="8">IF($D6="e",M6/$E6,0)</f>
        <v>366.66666666666669</v>
      </c>
      <c r="R6" s="136">
        <f t="shared" ref="R6:R69" si="9">IF($D6="e",N6/$E6,0)</f>
        <v>366.66666666666669</v>
      </c>
    </row>
    <row r="7" spans="1:18" x14ac:dyDescent="0.25">
      <c r="A7" s="111"/>
      <c r="B7" s="138" t="s">
        <v>721</v>
      </c>
      <c r="C7" s="139">
        <v>2</v>
      </c>
      <c r="D7" s="139" t="s">
        <v>720</v>
      </c>
      <c r="E7" s="139">
        <v>3</v>
      </c>
      <c r="F7" s="139">
        <v>1000</v>
      </c>
      <c r="G7" s="139">
        <v>1</v>
      </c>
      <c r="H7" s="139">
        <v>1</v>
      </c>
      <c r="I7" s="139">
        <v>2</v>
      </c>
      <c r="J7" s="139">
        <v>2</v>
      </c>
      <c r="K7" s="136">
        <f t="shared" si="2"/>
        <v>1000</v>
      </c>
      <c r="L7" s="136">
        <f t="shared" si="3"/>
        <v>1000</v>
      </c>
      <c r="M7" s="136">
        <f t="shared" si="4"/>
        <v>2000</v>
      </c>
      <c r="N7" s="136">
        <f t="shared" si="5"/>
        <v>2000</v>
      </c>
      <c r="O7" s="136">
        <f t="shared" si="6"/>
        <v>333.33333333333331</v>
      </c>
      <c r="P7" s="136">
        <f t="shared" si="7"/>
        <v>333.33333333333331</v>
      </c>
      <c r="Q7" s="136">
        <f t="shared" si="8"/>
        <v>666.66666666666663</v>
      </c>
      <c r="R7" s="136">
        <f t="shared" si="9"/>
        <v>666.66666666666663</v>
      </c>
    </row>
    <row r="8" spans="1:18" x14ac:dyDescent="0.25">
      <c r="A8" s="111"/>
      <c r="B8" s="136" t="s">
        <v>722</v>
      </c>
      <c r="C8" s="135">
        <v>6</v>
      </c>
      <c r="D8" s="135" t="s">
        <v>718</v>
      </c>
      <c r="E8" s="135"/>
      <c r="F8" s="135">
        <v>350</v>
      </c>
      <c r="G8" s="135">
        <v>0</v>
      </c>
      <c r="H8" s="135">
        <v>0</v>
      </c>
      <c r="I8" s="135">
        <v>2</v>
      </c>
      <c r="J8" s="135">
        <v>2</v>
      </c>
      <c r="K8" s="136">
        <f t="shared" si="2"/>
        <v>0</v>
      </c>
      <c r="L8" s="136">
        <f t="shared" si="3"/>
        <v>0</v>
      </c>
      <c r="M8" s="136">
        <f t="shared" si="4"/>
        <v>700</v>
      </c>
      <c r="N8" s="136">
        <f t="shared" si="5"/>
        <v>700</v>
      </c>
      <c r="O8" s="136">
        <f t="shared" si="6"/>
        <v>0</v>
      </c>
      <c r="P8" s="136">
        <f t="shared" si="7"/>
        <v>0</v>
      </c>
      <c r="Q8" s="136">
        <f t="shared" si="8"/>
        <v>0</v>
      </c>
      <c r="R8" s="136">
        <f t="shared" si="9"/>
        <v>0</v>
      </c>
    </row>
    <row r="9" spans="1:18" x14ac:dyDescent="0.25">
      <c r="A9" s="111"/>
      <c r="B9" s="136" t="s">
        <v>723</v>
      </c>
      <c r="C9" s="135">
        <v>12</v>
      </c>
      <c r="D9" s="135" t="s">
        <v>720</v>
      </c>
      <c r="E9" s="135">
        <v>8</v>
      </c>
      <c r="F9" s="135">
        <v>10000</v>
      </c>
      <c r="G9" s="135">
        <v>0</v>
      </c>
      <c r="H9" s="135">
        <v>0</v>
      </c>
      <c r="I9" s="135">
        <v>1</v>
      </c>
      <c r="J9" s="135">
        <v>1</v>
      </c>
      <c r="K9" s="136">
        <f t="shared" si="2"/>
        <v>0</v>
      </c>
      <c r="L9" s="136">
        <f t="shared" si="3"/>
        <v>0</v>
      </c>
      <c r="M9" s="136">
        <f t="shared" si="4"/>
        <v>10000</v>
      </c>
      <c r="N9" s="136">
        <f t="shared" si="5"/>
        <v>10000</v>
      </c>
      <c r="O9" s="136">
        <f t="shared" si="6"/>
        <v>0</v>
      </c>
      <c r="P9" s="136">
        <f t="shared" si="7"/>
        <v>0</v>
      </c>
      <c r="Q9" s="136">
        <f t="shared" si="8"/>
        <v>1250</v>
      </c>
      <c r="R9" s="136">
        <f t="shared" si="9"/>
        <v>1250</v>
      </c>
    </row>
    <row r="10" spans="1:18" x14ac:dyDescent="0.25">
      <c r="A10" s="111"/>
      <c r="B10" s="136" t="s">
        <v>724</v>
      </c>
      <c r="C10" s="135">
        <v>6</v>
      </c>
      <c r="D10" s="135" t="s">
        <v>720</v>
      </c>
      <c r="E10" s="135">
        <v>5</v>
      </c>
      <c r="F10" s="135">
        <v>3500</v>
      </c>
      <c r="G10" s="135">
        <v>8</v>
      </c>
      <c r="H10" s="135">
        <v>8</v>
      </c>
      <c r="I10" s="135">
        <v>14</v>
      </c>
      <c r="J10" s="135">
        <v>17</v>
      </c>
      <c r="K10" s="136">
        <f t="shared" si="2"/>
        <v>28000</v>
      </c>
      <c r="L10" s="136">
        <f t="shared" si="3"/>
        <v>28000</v>
      </c>
      <c r="M10" s="136">
        <f t="shared" si="4"/>
        <v>49000</v>
      </c>
      <c r="N10" s="136">
        <f t="shared" si="5"/>
        <v>59500</v>
      </c>
      <c r="O10" s="136">
        <f t="shared" si="6"/>
        <v>5600</v>
      </c>
      <c r="P10" s="136">
        <f t="shared" si="7"/>
        <v>5600</v>
      </c>
      <c r="Q10" s="136">
        <f t="shared" si="8"/>
        <v>9800</v>
      </c>
      <c r="R10" s="136">
        <f t="shared" si="9"/>
        <v>11900</v>
      </c>
    </row>
    <row r="11" spans="1:18" x14ac:dyDescent="0.25">
      <c r="A11" s="111"/>
      <c r="B11" s="136" t="s">
        <v>653</v>
      </c>
      <c r="C11" s="135">
        <v>14</v>
      </c>
      <c r="D11" s="135" t="s">
        <v>720</v>
      </c>
      <c r="E11" s="135">
        <v>10</v>
      </c>
      <c r="F11" s="135">
        <v>4000000</v>
      </c>
      <c r="G11" s="135">
        <v>0</v>
      </c>
      <c r="H11" s="135">
        <v>1</v>
      </c>
      <c r="I11" s="135">
        <v>1</v>
      </c>
      <c r="J11" s="135">
        <v>1</v>
      </c>
      <c r="K11" s="136">
        <f t="shared" si="2"/>
        <v>0</v>
      </c>
      <c r="L11" s="136">
        <f t="shared" si="3"/>
        <v>4000000</v>
      </c>
      <c r="M11" s="136">
        <f t="shared" si="4"/>
        <v>4000000</v>
      </c>
      <c r="N11" s="136">
        <f t="shared" si="5"/>
        <v>4000000</v>
      </c>
      <c r="O11" s="136">
        <f t="shared" si="6"/>
        <v>0</v>
      </c>
      <c r="P11" s="136">
        <f t="shared" si="7"/>
        <v>400000</v>
      </c>
      <c r="Q11" s="136">
        <f t="shared" si="8"/>
        <v>400000</v>
      </c>
      <c r="R11" s="136">
        <f t="shared" si="9"/>
        <v>400000</v>
      </c>
    </row>
    <row r="12" spans="1:18" x14ac:dyDescent="0.25">
      <c r="A12" s="111"/>
      <c r="B12" s="136" t="s">
        <v>725</v>
      </c>
      <c r="C12" s="135">
        <v>6</v>
      </c>
      <c r="D12" s="135" t="s">
        <v>720</v>
      </c>
      <c r="E12" s="135">
        <v>10</v>
      </c>
      <c r="F12" s="135">
        <v>2000000</v>
      </c>
      <c r="G12" s="135">
        <v>0</v>
      </c>
      <c r="H12" s="135">
        <v>0</v>
      </c>
      <c r="I12" s="135">
        <v>0</v>
      </c>
      <c r="J12" s="135">
        <v>1</v>
      </c>
      <c r="K12" s="136">
        <f t="shared" si="2"/>
        <v>0</v>
      </c>
      <c r="L12" s="136">
        <f t="shared" si="3"/>
        <v>0</v>
      </c>
      <c r="M12" s="136">
        <f t="shared" si="4"/>
        <v>0</v>
      </c>
      <c r="N12" s="136">
        <f t="shared" si="5"/>
        <v>2000000</v>
      </c>
      <c r="O12" s="136">
        <f t="shared" si="6"/>
        <v>0</v>
      </c>
      <c r="P12" s="136">
        <f t="shared" si="7"/>
        <v>0</v>
      </c>
      <c r="Q12" s="136">
        <f t="shared" si="8"/>
        <v>0</v>
      </c>
      <c r="R12" s="136">
        <f t="shared" si="9"/>
        <v>200000</v>
      </c>
    </row>
    <row r="13" spans="1:18" x14ac:dyDescent="0.25">
      <c r="A13" s="111"/>
      <c r="B13" s="136" t="s">
        <v>726</v>
      </c>
      <c r="C13" s="135">
        <v>1</v>
      </c>
      <c r="D13" s="135" t="s">
        <v>718</v>
      </c>
      <c r="E13" s="135"/>
      <c r="F13" s="135">
        <v>500</v>
      </c>
      <c r="G13" s="135">
        <v>2</v>
      </c>
      <c r="H13" s="135">
        <v>2</v>
      </c>
      <c r="I13" s="135">
        <v>4</v>
      </c>
      <c r="J13" s="135">
        <v>4</v>
      </c>
      <c r="K13" s="136">
        <f t="shared" si="2"/>
        <v>1000</v>
      </c>
      <c r="L13" s="136">
        <f t="shared" si="3"/>
        <v>1000</v>
      </c>
      <c r="M13" s="136">
        <f t="shared" si="4"/>
        <v>2000</v>
      </c>
      <c r="N13" s="136">
        <f t="shared" si="5"/>
        <v>2000</v>
      </c>
      <c r="O13" s="136">
        <f t="shared" si="6"/>
        <v>0</v>
      </c>
      <c r="P13" s="136">
        <f t="shared" si="7"/>
        <v>0</v>
      </c>
      <c r="Q13" s="136">
        <f t="shared" si="8"/>
        <v>0</v>
      </c>
      <c r="R13" s="136">
        <f t="shared" si="9"/>
        <v>0</v>
      </c>
    </row>
    <row r="14" spans="1:18" ht="56.25" customHeight="1" x14ac:dyDescent="0.25">
      <c r="A14" s="111"/>
      <c r="B14" s="136" t="s">
        <v>727</v>
      </c>
      <c r="C14" s="135">
        <v>5</v>
      </c>
      <c r="D14" s="135" t="s">
        <v>720</v>
      </c>
      <c r="E14" s="135">
        <v>5</v>
      </c>
      <c r="F14" s="135">
        <v>150</v>
      </c>
      <c r="G14" s="135">
        <v>20</v>
      </c>
      <c r="H14" s="135">
        <v>20</v>
      </c>
      <c r="I14" s="135">
        <v>100</v>
      </c>
      <c r="J14" s="135">
        <v>135</v>
      </c>
      <c r="K14" s="136">
        <f t="shared" si="2"/>
        <v>3000</v>
      </c>
      <c r="L14" s="136">
        <f t="shared" si="3"/>
        <v>3000</v>
      </c>
      <c r="M14" s="136">
        <f t="shared" si="4"/>
        <v>15000</v>
      </c>
      <c r="N14" s="136">
        <f t="shared" si="5"/>
        <v>20250</v>
      </c>
      <c r="O14" s="136">
        <f t="shared" si="6"/>
        <v>600</v>
      </c>
      <c r="P14" s="136">
        <f t="shared" si="7"/>
        <v>600</v>
      </c>
      <c r="Q14" s="136">
        <f t="shared" si="8"/>
        <v>3000</v>
      </c>
      <c r="R14" s="136">
        <f t="shared" si="9"/>
        <v>4050</v>
      </c>
    </row>
    <row r="15" spans="1:18" x14ac:dyDescent="0.25">
      <c r="A15" s="111"/>
      <c r="B15" s="136" t="s">
        <v>728</v>
      </c>
      <c r="C15" s="135">
        <v>12</v>
      </c>
      <c r="D15" s="135" t="s">
        <v>720</v>
      </c>
      <c r="E15" s="135">
        <v>5</v>
      </c>
      <c r="F15" s="135">
        <v>2000</v>
      </c>
      <c r="G15" s="135">
        <v>0</v>
      </c>
      <c r="H15" s="135">
        <v>0</v>
      </c>
      <c r="I15" s="135">
        <v>1</v>
      </c>
      <c r="J15" s="135">
        <v>1</v>
      </c>
      <c r="K15" s="136">
        <f t="shared" si="2"/>
        <v>0</v>
      </c>
      <c r="L15" s="136">
        <f t="shared" si="3"/>
        <v>0</v>
      </c>
      <c r="M15" s="136">
        <f t="shared" si="4"/>
        <v>2000</v>
      </c>
      <c r="N15" s="136">
        <f t="shared" si="5"/>
        <v>2000</v>
      </c>
      <c r="O15" s="136">
        <f t="shared" si="6"/>
        <v>0</v>
      </c>
      <c r="P15" s="136">
        <f t="shared" si="7"/>
        <v>0</v>
      </c>
      <c r="Q15" s="136">
        <f t="shared" si="8"/>
        <v>400</v>
      </c>
      <c r="R15" s="136">
        <f t="shared" si="9"/>
        <v>400</v>
      </c>
    </row>
    <row r="16" spans="1:18" x14ac:dyDescent="0.25">
      <c r="A16" s="111"/>
      <c r="B16" s="136" t="s">
        <v>729</v>
      </c>
      <c r="C16" s="135">
        <v>14</v>
      </c>
      <c r="D16" s="135" t="s">
        <v>720</v>
      </c>
      <c r="E16" s="135">
        <v>8</v>
      </c>
      <c r="F16" s="135">
        <v>15000</v>
      </c>
      <c r="G16" s="135">
        <v>1</v>
      </c>
      <c r="H16" s="135">
        <v>1</v>
      </c>
      <c r="I16" s="135">
        <v>1</v>
      </c>
      <c r="J16" s="135">
        <v>1</v>
      </c>
      <c r="K16" s="136">
        <f t="shared" si="2"/>
        <v>15000</v>
      </c>
      <c r="L16" s="136">
        <f t="shared" si="3"/>
        <v>15000</v>
      </c>
      <c r="M16" s="136">
        <f t="shared" si="4"/>
        <v>15000</v>
      </c>
      <c r="N16" s="136">
        <f t="shared" si="5"/>
        <v>15000</v>
      </c>
      <c r="O16" s="136">
        <f t="shared" si="6"/>
        <v>1875</v>
      </c>
      <c r="P16" s="136">
        <f t="shared" si="7"/>
        <v>1875</v>
      </c>
      <c r="Q16" s="136">
        <f t="shared" si="8"/>
        <v>1875</v>
      </c>
      <c r="R16" s="136">
        <f t="shared" si="9"/>
        <v>1875</v>
      </c>
    </row>
    <row r="17" spans="1:18" x14ac:dyDescent="0.25">
      <c r="A17" s="111"/>
      <c r="B17" s="136" t="s">
        <v>730</v>
      </c>
      <c r="C17" s="135">
        <v>5</v>
      </c>
      <c r="D17" s="135" t="s">
        <v>720</v>
      </c>
      <c r="E17" s="135">
        <v>5</v>
      </c>
      <c r="F17" s="135">
        <v>200</v>
      </c>
      <c r="G17" s="135">
        <v>0</v>
      </c>
      <c r="H17" s="135">
        <v>0</v>
      </c>
      <c r="I17" s="135">
        <v>2</v>
      </c>
      <c r="J17" s="135">
        <v>2</v>
      </c>
      <c r="K17" s="136">
        <f t="shared" si="2"/>
        <v>0</v>
      </c>
      <c r="L17" s="136">
        <f t="shared" si="3"/>
        <v>0</v>
      </c>
      <c r="M17" s="136">
        <f t="shared" si="4"/>
        <v>400</v>
      </c>
      <c r="N17" s="136">
        <f t="shared" si="5"/>
        <v>400</v>
      </c>
      <c r="O17" s="136">
        <f t="shared" si="6"/>
        <v>0</v>
      </c>
      <c r="P17" s="136">
        <f t="shared" si="7"/>
        <v>0</v>
      </c>
      <c r="Q17" s="136">
        <f t="shared" si="8"/>
        <v>80</v>
      </c>
      <c r="R17" s="136">
        <f t="shared" si="9"/>
        <v>80</v>
      </c>
    </row>
    <row r="18" spans="1:18" x14ac:dyDescent="0.25">
      <c r="A18" s="111"/>
      <c r="B18" s="136" t="s">
        <v>731</v>
      </c>
      <c r="C18" s="135">
        <v>3</v>
      </c>
      <c r="D18" s="135" t="s">
        <v>718</v>
      </c>
      <c r="E18" s="135"/>
      <c r="F18" s="135">
        <v>1500</v>
      </c>
      <c r="G18" s="135">
        <v>2</v>
      </c>
      <c r="H18" s="135">
        <v>2</v>
      </c>
      <c r="I18" s="135">
        <v>10</v>
      </c>
      <c r="J18" s="135">
        <v>12</v>
      </c>
      <c r="K18" s="136">
        <f t="shared" si="2"/>
        <v>3000</v>
      </c>
      <c r="L18" s="136">
        <f t="shared" si="3"/>
        <v>3000</v>
      </c>
      <c r="M18" s="136">
        <f t="shared" si="4"/>
        <v>15000</v>
      </c>
      <c r="N18" s="136">
        <f t="shared" si="5"/>
        <v>18000</v>
      </c>
      <c r="O18" s="136">
        <f t="shared" si="6"/>
        <v>0</v>
      </c>
      <c r="P18" s="136">
        <f t="shared" si="7"/>
        <v>0</v>
      </c>
      <c r="Q18" s="136">
        <f t="shared" si="8"/>
        <v>0</v>
      </c>
      <c r="R18" s="136">
        <f t="shared" si="9"/>
        <v>0</v>
      </c>
    </row>
    <row r="19" spans="1:18" ht="15" customHeight="1" x14ac:dyDescent="0.25">
      <c r="A19" s="111"/>
      <c r="B19" s="136" t="s">
        <v>617</v>
      </c>
      <c r="C19" s="135">
        <v>3</v>
      </c>
      <c r="D19" s="135" t="s">
        <v>718</v>
      </c>
      <c r="E19" s="135"/>
      <c r="F19" s="135">
        <v>4000</v>
      </c>
      <c r="G19" s="135">
        <v>0</v>
      </c>
      <c r="H19" s="135">
        <v>0</v>
      </c>
      <c r="I19" s="135">
        <v>4</v>
      </c>
      <c r="J19" s="135">
        <v>4</v>
      </c>
      <c r="K19" s="136">
        <f t="shared" si="2"/>
        <v>0</v>
      </c>
      <c r="L19" s="136">
        <f t="shared" si="3"/>
        <v>0</v>
      </c>
      <c r="M19" s="136">
        <f t="shared" si="4"/>
        <v>16000</v>
      </c>
      <c r="N19" s="136">
        <f t="shared" si="5"/>
        <v>16000</v>
      </c>
      <c r="O19" s="136">
        <f t="shared" si="6"/>
        <v>0</v>
      </c>
      <c r="P19" s="136">
        <f t="shared" si="7"/>
        <v>0</v>
      </c>
      <c r="Q19" s="136">
        <f t="shared" si="8"/>
        <v>0</v>
      </c>
      <c r="R19" s="136">
        <f t="shared" si="9"/>
        <v>0</v>
      </c>
    </row>
    <row r="20" spans="1:18" x14ac:dyDescent="0.25">
      <c r="A20" s="111"/>
      <c r="B20" s="138" t="s">
        <v>732</v>
      </c>
      <c r="C20" s="139">
        <v>2</v>
      </c>
      <c r="D20" s="139" t="s">
        <v>720</v>
      </c>
      <c r="E20" s="139">
        <v>5</v>
      </c>
      <c r="F20" s="139">
        <v>3500</v>
      </c>
      <c r="G20" s="139">
        <v>1</v>
      </c>
      <c r="H20" s="139">
        <v>1</v>
      </c>
      <c r="I20" s="139">
        <v>2</v>
      </c>
      <c r="J20" s="139">
        <v>2</v>
      </c>
      <c r="K20" s="136">
        <f t="shared" si="2"/>
        <v>3500</v>
      </c>
      <c r="L20" s="136">
        <f t="shared" si="3"/>
        <v>3500</v>
      </c>
      <c r="M20" s="136">
        <f t="shared" si="4"/>
        <v>7000</v>
      </c>
      <c r="N20" s="136">
        <f t="shared" si="5"/>
        <v>7000</v>
      </c>
      <c r="O20" s="136">
        <f t="shared" si="6"/>
        <v>700</v>
      </c>
      <c r="P20" s="136">
        <f t="shared" si="7"/>
        <v>700</v>
      </c>
      <c r="Q20" s="136">
        <f t="shared" si="8"/>
        <v>1400</v>
      </c>
      <c r="R20" s="136">
        <f t="shared" si="9"/>
        <v>1400</v>
      </c>
    </row>
    <row r="21" spans="1:18" x14ac:dyDescent="0.25">
      <c r="A21" s="111"/>
      <c r="B21" s="136" t="s">
        <v>733</v>
      </c>
      <c r="C21" s="135">
        <v>6</v>
      </c>
      <c r="D21" s="135" t="s">
        <v>720</v>
      </c>
      <c r="E21" s="135">
        <v>5</v>
      </c>
      <c r="F21" s="135">
        <v>5000</v>
      </c>
      <c r="G21" s="135">
        <v>0</v>
      </c>
      <c r="H21" s="135">
        <v>0</v>
      </c>
      <c r="I21" s="135">
        <v>2</v>
      </c>
      <c r="J21" s="135">
        <v>2</v>
      </c>
      <c r="K21" s="136">
        <f t="shared" si="2"/>
        <v>0</v>
      </c>
      <c r="L21" s="136">
        <f t="shared" si="3"/>
        <v>0</v>
      </c>
      <c r="M21" s="136">
        <f t="shared" si="4"/>
        <v>10000</v>
      </c>
      <c r="N21" s="136">
        <f t="shared" si="5"/>
        <v>10000</v>
      </c>
      <c r="O21" s="136">
        <f t="shared" si="6"/>
        <v>0</v>
      </c>
      <c r="P21" s="136">
        <f t="shared" si="7"/>
        <v>0</v>
      </c>
      <c r="Q21" s="136">
        <f t="shared" si="8"/>
        <v>2000</v>
      </c>
      <c r="R21" s="136">
        <f t="shared" si="9"/>
        <v>2000</v>
      </c>
    </row>
    <row r="22" spans="1:18" x14ac:dyDescent="0.25">
      <c r="A22" s="111"/>
      <c r="B22" s="136" t="s">
        <v>734</v>
      </c>
      <c r="C22" s="135">
        <v>6</v>
      </c>
      <c r="D22" s="135" t="s">
        <v>720</v>
      </c>
      <c r="E22" s="135">
        <v>5</v>
      </c>
      <c r="F22" s="135">
        <v>2000</v>
      </c>
      <c r="G22" s="135">
        <v>0</v>
      </c>
      <c r="H22" s="135">
        <v>0</v>
      </c>
      <c r="I22" s="135">
        <v>2</v>
      </c>
      <c r="J22" s="135">
        <v>2</v>
      </c>
      <c r="K22" s="136">
        <f t="shared" si="2"/>
        <v>0</v>
      </c>
      <c r="L22" s="136">
        <f t="shared" si="3"/>
        <v>0</v>
      </c>
      <c r="M22" s="136">
        <f t="shared" si="4"/>
        <v>4000</v>
      </c>
      <c r="N22" s="136">
        <f t="shared" si="5"/>
        <v>4000</v>
      </c>
      <c r="O22" s="136">
        <f t="shared" si="6"/>
        <v>0</v>
      </c>
      <c r="P22" s="136">
        <f t="shared" si="7"/>
        <v>0</v>
      </c>
      <c r="Q22" s="136">
        <f t="shared" si="8"/>
        <v>800</v>
      </c>
      <c r="R22" s="136">
        <f t="shared" si="9"/>
        <v>800</v>
      </c>
    </row>
    <row r="23" spans="1:18" x14ac:dyDescent="0.25">
      <c r="A23" s="111"/>
      <c r="B23" s="136" t="s">
        <v>647</v>
      </c>
      <c r="C23" s="135">
        <v>11</v>
      </c>
      <c r="D23" s="135" t="s">
        <v>718</v>
      </c>
      <c r="E23" s="135"/>
      <c r="F23" s="135">
        <v>1000</v>
      </c>
      <c r="G23" s="135">
        <v>0</v>
      </c>
      <c r="H23" s="135">
        <v>0</v>
      </c>
      <c r="I23" s="135">
        <v>1</v>
      </c>
      <c r="J23" s="135">
        <v>1</v>
      </c>
      <c r="K23" s="136">
        <f t="shared" si="2"/>
        <v>0</v>
      </c>
      <c r="L23" s="136">
        <f t="shared" si="3"/>
        <v>0</v>
      </c>
      <c r="M23" s="136">
        <f t="shared" si="4"/>
        <v>1000</v>
      </c>
      <c r="N23" s="136">
        <f t="shared" si="5"/>
        <v>1000</v>
      </c>
      <c r="O23" s="136">
        <f t="shared" si="6"/>
        <v>0</v>
      </c>
      <c r="P23" s="136">
        <f t="shared" si="7"/>
        <v>0</v>
      </c>
      <c r="Q23" s="136">
        <f t="shared" si="8"/>
        <v>0</v>
      </c>
      <c r="R23" s="136">
        <f t="shared" si="9"/>
        <v>0</v>
      </c>
    </row>
    <row r="24" spans="1:18" x14ac:dyDescent="0.25">
      <c r="A24" s="111"/>
      <c r="B24" s="136" t="s">
        <v>735</v>
      </c>
      <c r="C24" s="135">
        <v>3</v>
      </c>
      <c r="D24" s="135" t="s">
        <v>718</v>
      </c>
      <c r="E24" s="135"/>
      <c r="F24" s="135">
        <v>500</v>
      </c>
      <c r="G24" s="135">
        <v>0</v>
      </c>
      <c r="H24" s="135">
        <v>0</v>
      </c>
      <c r="I24" s="135">
        <v>40</v>
      </c>
      <c r="J24" s="135">
        <v>40</v>
      </c>
      <c r="K24" s="136">
        <f t="shared" si="2"/>
        <v>0</v>
      </c>
      <c r="L24" s="136">
        <f t="shared" si="3"/>
        <v>0</v>
      </c>
      <c r="M24" s="136">
        <f t="shared" si="4"/>
        <v>20000</v>
      </c>
      <c r="N24" s="136">
        <f t="shared" si="5"/>
        <v>20000</v>
      </c>
      <c r="O24" s="136">
        <f t="shared" si="6"/>
        <v>0</v>
      </c>
      <c r="P24" s="136">
        <f t="shared" si="7"/>
        <v>0</v>
      </c>
      <c r="Q24" s="136">
        <f t="shared" si="8"/>
        <v>0</v>
      </c>
      <c r="R24" s="136">
        <f t="shared" si="9"/>
        <v>0</v>
      </c>
    </row>
    <row r="25" spans="1:18" x14ac:dyDescent="0.25">
      <c r="A25" s="111"/>
      <c r="B25" s="136" t="s">
        <v>616</v>
      </c>
      <c r="C25" s="135">
        <v>3</v>
      </c>
      <c r="D25" s="135" t="s">
        <v>720</v>
      </c>
      <c r="E25" s="135">
        <v>8</v>
      </c>
      <c r="F25" s="135">
        <v>6000</v>
      </c>
      <c r="G25" s="135">
        <v>0</v>
      </c>
      <c r="H25" s="135">
        <v>0</v>
      </c>
      <c r="I25" s="135">
        <v>10</v>
      </c>
      <c r="J25" s="135">
        <v>10</v>
      </c>
      <c r="K25" s="136">
        <f t="shared" si="2"/>
        <v>0</v>
      </c>
      <c r="L25" s="136">
        <f t="shared" si="3"/>
        <v>0</v>
      </c>
      <c r="M25" s="136">
        <f t="shared" si="4"/>
        <v>60000</v>
      </c>
      <c r="N25" s="136">
        <f t="shared" si="5"/>
        <v>60000</v>
      </c>
      <c r="O25" s="136">
        <f t="shared" si="6"/>
        <v>0</v>
      </c>
      <c r="P25" s="136">
        <f t="shared" si="7"/>
        <v>0</v>
      </c>
      <c r="Q25" s="136">
        <f t="shared" si="8"/>
        <v>7500</v>
      </c>
      <c r="R25" s="136">
        <f t="shared" si="9"/>
        <v>7500</v>
      </c>
    </row>
    <row r="26" spans="1:18" x14ac:dyDescent="0.25">
      <c r="A26" s="111"/>
      <c r="B26" s="136" t="s">
        <v>620</v>
      </c>
      <c r="C26" s="135">
        <v>3</v>
      </c>
      <c r="D26" s="135" t="s">
        <v>718</v>
      </c>
      <c r="E26" s="135"/>
      <c r="F26" s="135">
        <v>1000</v>
      </c>
      <c r="G26" s="135">
        <v>0</v>
      </c>
      <c r="H26" s="135">
        <v>0</v>
      </c>
      <c r="I26" s="135">
        <v>20</v>
      </c>
      <c r="J26" s="135">
        <v>20</v>
      </c>
      <c r="K26" s="136">
        <f t="shared" si="2"/>
        <v>0</v>
      </c>
      <c r="L26" s="136">
        <f t="shared" si="3"/>
        <v>0</v>
      </c>
      <c r="M26" s="136">
        <f t="shared" si="4"/>
        <v>20000</v>
      </c>
      <c r="N26" s="136">
        <f t="shared" si="5"/>
        <v>20000</v>
      </c>
      <c r="O26" s="136">
        <f t="shared" si="6"/>
        <v>0</v>
      </c>
      <c r="P26" s="136">
        <f t="shared" si="7"/>
        <v>0</v>
      </c>
      <c r="Q26" s="136">
        <f t="shared" si="8"/>
        <v>0</v>
      </c>
      <c r="R26" s="136">
        <f t="shared" si="9"/>
        <v>0</v>
      </c>
    </row>
    <row r="27" spans="1:18" x14ac:dyDescent="0.25">
      <c r="A27" s="111"/>
      <c r="B27" s="136" t="s">
        <v>736</v>
      </c>
      <c r="C27" s="135">
        <v>5</v>
      </c>
      <c r="D27" s="135" t="s">
        <v>720</v>
      </c>
      <c r="E27" s="135">
        <v>5</v>
      </c>
      <c r="F27" s="135">
        <v>500</v>
      </c>
      <c r="G27" s="135">
        <v>1</v>
      </c>
      <c r="H27" s="135">
        <v>1</v>
      </c>
      <c r="I27" s="135">
        <v>4</v>
      </c>
      <c r="J27" s="135">
        <v>4</v>
      </c>
      <c r="K27" s="136">
        <f t="shared" si="2"/>
        <v>500</v>
      </c>
      <c r="L27" s="136">
        <f t="shared" si="3"/>
        <v>500</v>
      </c>
      <c r="M27" s="136">
        <f t="shared" si="4"/>
        <v>2000</v>
      </c>
      <c r="N27" s="136">
        <f t="shared" si="5"/>
        <v>2000</v>
      </c>
      <c r="O27" s="136">
        <f t="shared" si="6"/>
        <v>100</v>
      </c>
      <c r="P27" s="136">
        <f t="shared" si="7"/>
        <v>100</v>
      </c>
      <c r="Q27" s="136">
        <f t="shared" si="8"/>
        <v>400</v>
      </c>
      <c r="R27" s="136">
        <f t="shared" si="9"/>
        <v>400</v>
      </c>
    </row>
    <row r="28" spans="1:18" x14ac:dyDescent="0.25">
      <c r="A28" s="111"/>
      <c r="B28" s="136" t="s">
        <v>737</v>
      </c>
      <c r="C28" s="135">
        <v>13</v>
      </c>
      <c r="D28" s="135" t="s">
        <v>720</v>
      </c>
      <c r="E28" s="135">
        <v>5</v>
      </c>
      <c r="F28" s="135">
        <v>2500</v>
      </c>
      <c r="G28" s="135">
        <v>2</v>
      </c>
      <c r="H28" s="135">
        <v>2</v>
      </c>
      <c r="I28" s="135">
        <v>4</v>
      </c>
      <c r="J28" s="135">
        <v>4</v>
      </c>
      <c r="K28" s="136">
        <f t="shared" si="2"/>
        <v>5000</v>
      </c>
      <c r="L28" s="136">
        <f t="shared" si="3"/>
        <v>5000</v>
      </c>
      <c r="M28" s="136">
        <f t="shared" si="4"/>
        <v>10000</v>
      </c>
      <c r="N28" s="136">
        <f t="shared" si="5"/>
        <v>10000</v>
      </c>
      <c r="O28" s="136">
        <f t="shared" si="6"/>
        <v>1000</v>
      </c>
      <c r="P28" s="136">
        <f t="shared" si="7"/>
        <v>1000</v>
      </c>
      <c r="Q28" s="136">
        <f t="shared" si="8"/>
        <v>2000</v>
      </c>
      <c r="R28" s="136">
        <f t="shared" si="9"/>
        <v>2000</v>
      </c>
    </row>
    <row r="29" spans="1:18" x14ac:dyDescent="0.25">
      <c r="A29" s="111"/>
      <c r="B29" s="136" t="s">
        <v>738</v>
      </c>
      <c r="C29" s="135">
        <v>3</v>
      </c>
      <c r="D29" s="135" t="s">
        <v>720</v>
      </c>
      <c r="E29" s="135">
        <v>5</v>
      </c>
      <c r="F29" s="135">
        <v>2500</v>
      </c>
      <c r="G29" s="135">
        <v>0</v>
      </c>
      <c r="H29" s="135">
        <v>0</v>
      </c>
      <c r="I29" s="135">
        <v>10</v>
      </c>
      <c r="J29" s="135">
        <v>10</v>
      </c>
      <c r="K29" s="136">
        <f t="shared" si="2"/>
        <v>0</v>
      </c>
      <c r="L29" s="136">
        <f t="shared" si="3"/>
        <v>0</v>
      </c>
      <c r="M29" s="136">
        <f t="shared" si="4"/>
        <v>25000</v>
      </c>
      <c r="N29" s="136">
        <f t="shared" si="5"/>
        <v>25000</v>
      </c>
      <c r="O29" s="136">
        <f t="shared" si="6"/>
        <v>0</v>
      </c>
      <c r="P29" s="136">
        <f t="shared" si="7"/>
        <v>0</v>
      </c>
      <c r="Q29" s="136">
        <f t="shared" si="8"/>
        <v>5000</v>
      </c>
      <c r="R29" s="136">
        <f t="shared" si="9"/>
        <v>5000</v>
      </c>
    </row>
    <row r="30" spans="1:18" x14ac:dyDescent="0.25">
      <c r="A30" s="111"/>
      <c r="B30" s="136" t="s">
        <v>739</v>
      </c>
      <c r="C30" s="135">
        <v>5</v>
      </c>
      <c r="D30" s="135" t="s">
        <v>720</v>
      </c>
      <c r="E30" s="135">
        <v>8</v>
      </c>
      <c r="F30" s="135">
        <v>50000</v>
      </c>
      <c r="G30" s="135">
        <v>0</v>
      </c>
      <c r="H30" s="135">
        <v>0</v>
      </c>
      <c r="I30" s="135">
        <v>0</v>
      </c>
      <c r="J30" s="135">
        <v>1</v>
      </c>
      <c r="K30" s="136">
        <f t="shared" si="2"/>
        <v>0</v>
      </c>
      <c r="L30" s="136">
        <f t="shared" si="3"/>
        <v>0</v>
      </c>
      <c r="M30" s="136">
        <f t="shared" si="4"/>
        <v>0</v>
      </c>
      <c r="N30" s="136">
        <f t="shared" si="5"/>
        <v>50000</v>
      </c>
      <c r="O30" s="136">
        <f t="shared" si="6"/>
        <v>0</v>
      </c>
      <c r="P30" s="136">
        <f t="shared" si="7"/>
        <v>0</v>
      </c>
      <c r="Q30" s="136">
        <f t="shared" si="8"/>
        <v>0</v>
      </c>
      <c r="R30" s="136">
        <f t="shared" si="9"/>
        <v>6250</v>
      </c>
    </row>
    <row r="31" spans="1:18" x14ac:dyDescent="0.25">
      <c r="A31" s="111"/>
      <c r="B31" s="136" t="s">
        <v>632</v>
      </c>
      <c r="C31" s="135">
        <v>10</v>
      </c>
      <c r="D31" s="135" t="s">
        <v>720</v>
      </c>
      <c r="E31" s="135">
        <v>8</v>
      </c>
      <c r="F31" s="135">
        <v>80000</v>
      </c>
      <c r="G31" s="135">
        <v>1</v>
      </c>
      <c r="H31" s="135">
        <v>1</v>
      </c>
      <c r="I31" s="135">
        <v>1</v>
      </c>
      <c r="J31" s="135">
        <v>1</v>
      </c>
      <c r="K31" s="136">
        <f t="shared" si="2"/>
        <v>80000</v>
      </c>
      <c r="L31" s="136">
        <f t="shared" si="3"/>
        <v>80000</v>
      </c>
      <c r="M31" s="136">
        <f t="shared" si="4"/>
        <v>80000</v>
      </c>
      <c r="N31" s="136">
        <f t="shared" si="5"/>
        <v>80000</v>
      </c>
      <c r="O31" s="136">
        <f t="shared" si="6"/>
        <v>10000</v>
      </c>
      <c r="P31" s="136">
        <f t="shared" si="7"/>
        <v>10000</v>
      </c>
      <c r="Q31" s="136">
        <f t="shared" si="8"/>
        <v>10000</v>
      </c>
      <c r="R31" s="136">
        <f t="shared" si="9"/>
        <v>10000</v>
      </c>
    </row>
    <row r="32" spans="1:18" x14ac:dyDescent="0.25">
      <c r="A32" s="111"/>
      <c r="B32" s="136" t="s">
        <v>740</v>
      </c>
      <c r="C32" s="135">
        <v>10</v>
      </c>
      <c r="D32" s="135" t="s">
        <v>720</v>
      </c>
      <c r="E32" s="135">
        <v>8</v>
      </c>
      <c r="F32" s="135">
        <v>300000</v>
      </c>
      <c r="G32" s="135">
        <v>0</v>
      </c>
      <c r="H32" s="135">
        <v>0</v>
      </c>
      <c r="I32" s="135">
        <v>1</v>
      </c>
      <c r="J32" s="135">
        <v>1</v>
      </c>
      <c r="K32" s="136">
        <f t="shared" si="2"/>
        <v>0</v>
      </c>
      <c r="L32" s="136">
        <f t="shared" si="3"/>
        <v>0</v>
      </c>
      <c r="M32" s="136">
        <f t="shared" si="4"/>
        <v>300000</v>
      </c>
      <c r="N32" s="136">
        <f t="shared" si="5"/>
        <v>300000</v>
      </c>
      <c r="O32" s="136">
        <f t="shared" si="6"/>
        <v>0</v>
      </c>
      <c r="P32" s="136">
        <f t="shared" si="7"/>
        <v>0</v>
      </c>
      <c r="Q32" s="136">
        <f t="shared" si="8"/>
        <v>37500</v>
      </c>
      <c r="R32" s="136">
        <f t="shared" si="9"/>
        <v>37500</v>
      </c>
    </row>
    <row r="33" spans="1:18" x14ac:dyDescent="0.25">
      <c r="A33" s="111"/>
      <c r="B33" s="138" t="s">
        <v>741</v>
      </c>
      <c r="C33" s="139">
        <v>2</v>
      </c>
      <c r="D33" s="139" t="s">
        <v>718</v>
      </c>
      <c r="E33" s="139"/>
      <c r="F33" s="139">
        <v>1000</v>
      </c>
      <c r="G33" s="139">
        <v>4</v>
      </c>
      <c r="H33" s="139">
        <v>4</v>
      </c>
      <c r="I33" s="139">
        <v>6</v>
      </c>
      <c r="J33" s="139">
        <v>6</v>
      </c>
      <c r="K33" s="136">
        <f t="shared" si="2"/>
        <v>4000</v>
      </c>
      <c r="L33" s="136">
        <f t="shared" si="3"/>
        <v>4000</v>
      </c>
      <c r="M33" s="136">
        <f t="shared" si="4"/>
        <v>6000</v>
      </c>
      <c r="N33" s="136">
        <f t="shared" si="5"/>
        <v>6000</v>
      </c>
      <c r="O33" s="136">
        <f t="shared" si="6"/>
        <v>0</v>
      </c>
      <c r="P33" s="136">
        <f t="shared" si="7"/>
        <v>0</v>
      </c>
      <c r="Q33" s="136">
        <f t="shared" si="8"/>
        <v>0</v>
      </c>
      <c r="R33" s="136">
        <f t="shared" si="9"/>
        <v>0</v>
      </c>
    </row>
    <row r="34" spans="1:18" x14ac:dyDescent="0.25">
      <c r="A34" s="111"/>
      <c r="B34" s="136" t="s">
        <v>742</v>
      </c>
      <c r="C34" s="135">
        <v>8</v>
      </c>
      <c r="D34" s="135" t="s">
        <v>720</v>
      </c>
      <c r="E34" s="135">
        <v>8</v>
      </c>
      <c r="F34" s="135">
        <v>50000</v>
      </c>
      <c r="G34" s="135">
        <v>0</v>
      </c>
      <c r="H34" s="135">
        <v>0</v>
      </c>
      <c r="I34" s="135">
        <v>0</v>
      </c>
      <c r="J34" s="135">
        <v>1</v>
      </c>
      <c r="K34" s="136">
        <f t="shared" si="2"/>
        <v>0</v>
      </c>
      <c r="L34" s="136">
        <f t="shared" si="3"/>
        <v>0</v>
      </c>
      <c r="M34" s="136">
        <f t="shared" si="4"/>
        <v>0</v>
      </c>
      <c r="N34" s="136">
        <f t="shared" si="5"/>
        <v>50000</v>
      </c>
      <c r="O34" s="136">
        <f t="shared" si="6"/>
        <v>0</v>
      </c>
      <c r="P34" s="136">
        <f t="shared" si="7"/>
        <v>0</v>
      </c>
      <c r="Q34" s="136">
        <f t="shared" si="8"/>
        <v>0</v>
      </c>
      <c r="R34" s="136">
        <f t="shared" si="9"/>
        <v>6250</v>
      </c>
    </row>
    <row r="35" spans="1:18" x14ac:dyDescent="0.25">
      <c r="A35" s="111"/>
      <c r="B35" s="136" t="s">
        <v>743</v>
      </c>
      <c r="C35" s="135">
        <v>10</v>
      </c>
      <c r="D35" s="135" t="s">
        <v>720</v>
      </c>
      <c r="E35" s="135">
        <v>5</v>
      </c>
      <c r="F35" s="135">
        <v>3000</v>
      </c>
      <c r="G35" s="135">
        <v>1</v>
      </c>
      <c r="H35" s="135">
        <v>1</v>
      </c>
      <c r="I35" s="135">
        <v>1</v>
      </c>
      <c r="J35" s="135">
        <v>1</v>
      </c>
      <c r="K35" s="136">
        <f t="shared" si="2"/>
        <v>3000</v>
      </c>
      <c r="L35" s="136">
        <f t="shared" si="3"/>
        <v>3000</v>
      </c>
      <c r="M35" s="136">
        <f t="shared" si="4"/>
        <v>3000</v>
      </c>
      <c r="N35" s="136">
        <f t="shared" si="5"/>
        <v>3000</v>
      </c>
      <c r="O35" s="136">
        <f t="shared" si="6"/>
        <v>600</v>
      </c>
      <c r="P35" s="136">
        <f t="shared" si="7"/>
        <v>600</v>
      </c>
      <c r="Q35" s="136">
        <f t="shared" si="8"/>
        <v>600</v>
      </c>
      <c r="R35" s="136">
        <f t="shared" si="9"/>
        <v>600</v>
      </c>
    </row>
    <row r="36" spans="1:18" x14ac:dyDescent="0.25">
      <c r="A36" s="111"/>
      <c r="B36" s="136" t="s">
        <v>744</v>
      </c>
      <c r="C36" s="135">
        <v>5</v>
      </c>
      <c r="D36" s="135" t="s">
        <v>718</v>
      </c>
      <c r="E36" s="135"/>
      <c r="F36" s="135">
        <v>300</v>
      </c>
      <c r="G36" s="135">
        <v>2</v>
      </c>
      <c r="H36" s="135">
        <v>2</v>
      </c>
      <c r="I36" s="135">
        <v>4</v>
      </c>
      <c r="J36" s="135">
        <v>4</v>
      </c>
      <c r="K36" s="136">
        <f t="shared" si="2"/>
        <v>600</v>
      </c>
      <c r="L36" s="136">
        <f t="shared" si="3"/>
        <v>600</v>
      </c>
      <c r="M36" s="136">
        <f t="shared" si="4"/>
        <v>1200</v>
      </c>
      <c r="N36" s="136">
        <f t="shared" si="5"/>
        <v>1200</v>
      </c>
      <c r="O36" s="136">
        <f t="shared" si="6"/>
        <v>0</v>
      </c>
      <c r="P36" s="136">
        <f t="shared" si="7"/>
        <v>0</v>
      </c>
      <c r="Q36" s="136">
        <f t="shared" si="8"/>
        <v>0</v>
      </c>
      <c r="R36" s="136">
        <f t="shared" si="9"/>
        <v>0</v>
      </c>
    </row>
    <row r="37" spans="1:18" x14ac:dyDescent="0.25">
      <c r="A37" s="111"/>
      <c r="B37" s="136" t="s">
        <v>745</v>
      </c>
      <c r="C37" s="135">
        <v>8</v>
      </c>
      <c r="D37" s="135" t="s">
        <v>720</v>
      </c>
      <c r="E37" s="135">
        <v>10</v>
      </c>
      <c r="F37" s="135">
        <v>1000000</v>
      </c>
      <c r="G37" s="135">
        <v>0</v>
      </c>
      <c r="H37" s="135">
        <v>0</v>
      </c>
      <c r="I37" s="135">
        <v>0</v>
      </c>
      <c r="J37" s="135">
        <v>1</v>
      </c>
      <c r="K37" s="136">
        <f t="shared" si="2"/>
        <v>0</v>
      </c>
      <c r="L37" s="136">
        <f t="shared" si="3"/>
        <v>0</v>
      </c>
      <c r="M37" s="136">
        <f t="shared" si="4"/>
        <v>0</v>
      </c>
      <c r="N37" s="136">
        <f t="shared" si="5"/>
        <v>1000000</v>
      </c>
      <c r="O37" s="136">
        <f t="shared" si="6"/>
        <v>0</v>
      </c>
      <c r="P37" s="136">
        <f t="shared" si="7"/>
        <v>0</v>
      </c>
      <c r="Q37" s="136">
        <f t="shared" si="8"/>
        <v>0</v>
      </c>
      <c r="R37" s="136">
        <f t="shared" si="9"/>
        <v>100000</v>
      </c>
    </row>
    <row r="38" spans="1:18" x14ac:dyDescent="0.25">
      <c r="A38" s="111"/>
      <c r="B38" s="136" t="s">
        <v>746</v>
      </c>
      <c r="C38" s="135">
        <v>8</v>
      </c>
      <c r="D38" s="135" t="s">
        <v>720</v>
      </c>
      <c r="E38" s="135">
        <v>5</v>
      </c>
      <c r="F38" s="135">
        <v>5000</v>
      </c>
      <c r="G38" s="135">
        <v>0</v>
      </c>
      <c r="H38" s="135">
        <v>0</v>
      </c>
      <c r="I38" s="135">
        <v>0</v>
      </c>
      <c r="J38" s="135">
        <v>1</v>
      </c>
      <c r="K38" s="136">
        <f t="shared" si="2"/>
        <v>0</v>
      </c>
      <c r="L38" s="136">
        <f t="shared" si="3"/>
        <v>0</v>
      </c>
      <c r="M38" s="136">
        <f t="shared" si="4"/>
        <v>0</v>
      </c>
      <c r="N38" s="136">
        <f t="shared" si="5"/>
        <v>5000</v>
      </c>
      <c r="O38" s="136">
        <f t="shared" si="6"/>
        <v>0</v>
      </c>
      <c r="P38" s="136">
        <f t="shared" si="7"/>
        <v>0</v>
      </c>
      <c r="Q38" s="136">
        <f t="shared" si="8"/>
        <v>0</v>
      </c>
      <c r="R38" s="136">
        <f t="shared" si="9"/>
        <v>1000</v>
      </c>
    </row>
    <row r="39" spans="1:18" x14ac:dyDescent="0.25">
      <c r="A39" s="111"/>
      <c r="B39" s="138" t="s">
        <v>609</v>
      </c>
      <c r="C39" s="139">
        <v>2</v>
      </c>
      <c r="D39" s="139" t="s">
        <v>718</v>
      </c>
      <c r="E39" s="139"/>
      <c r="F39" s="139">
        <v>350</v>
      </c>
      <c r="G39" s="139">
        <v>2</v>
      </c>
      <c r="H39" s="139">
        <v>2</v>
      </c>
      <c r="I39" s="139">
        <v>8</v>
      </c>
      <c r="J39" s="139">
        <v>8</v>
      </c>
      <c r="K39" s="136">
        <f t="shared" si="2"/>
        <v>700</v>
      </c>
      <c r="L39" s="136">
        <f t="shared" si="3"/>
        <v>700</v>
      </c>
      <c r="M39" s="136">
        <f t="shared" si="4"/>
        <v>2800</v>
      </c>
      <c r="N39" s="136">
        <f t="shared" si="5"/>
        <v>2800</v>
      </c>
      <c r="O39" s="136">
        <f t="shared" si="6"/>
        <v>0</v>
      </c>
      <c r="P39" s="136">
        <f t="shared" si="7"/>
        <v>0</v>
      </c>
      <c r="Q39" s="136">
        <f t="shared" si="8"/>
        <v>0</v>
      </c>
      <c r="R39" s="136">
        <f t="shared" si="9"/>
        <v>0</v>
      </c>
    </row>
    <row r="40" spans="1:18" x14ac:dyDescent="0.25">
      <c r="A40" s="111"/>
      <c r="B40" s="136" t="s">
        <v>747</v>
      </c>
      <c r="C40" s="135">
        <v>5</v>
      </c>
      <c r="D40" s="135" t="s">
        <v>720</v>
      </c>
      <c r="E40" s="135">
        <v>3</v>
      </c>
      <c r="F40" s="135">
        <v>1500</v>
      </c>
      <c r="G40" s="135">
        <v>3</v>
      </c>
      <c r="H40" s="135">
        <v>3</v>
      </c>
      <c r="I40" s="135">
        <v>6</v>
      </c>
      <c r="J40" s="135">
        <v>6</v>
      </c>
      <c r="K40" s="136">
        <f t="shared" si="2"/>
        <v>4500</v>
      </c>
      <c r="L40" s="136">
        <f t="shared" si="3"/>
        <v>4500</v>
      </c>
      <c r="M40" s="136">
        <f t="shared" si="4"/>
        <v>9000</v>
      </c>
      <c r="N40" s="136">
        <f t="shared" si="5"/>
        <v>9000</v>
      </c>
      <c r="O40" s="136">
        <f t="shared" si="6"/>
        <v>1500</v>
      </c>
      <c r="P40" s="136">
        <f t="shared" si="7"/>
        <v>1500</v>
      </c>
      <c r="Q40" s="136">
        <f t="shared" si="8"/>
        <v>3000</v>
      </c>
      <c r="R40" s="136">
        <f t="shared" si="9"/>
        <v>3000</v>
      </c>
    </row>
    <row r="41" spans="1:18" x14ac:dyDescent="0.25">
      <c r="A41" s="111"/>
      <c r="B41" s="136" t="s">
        <v>748</v>
      </c>
      <c r="C41" s="135">
        <v>6</v>
      </c>
      <c r="D41" s="135" t="s">
        <v>718</v>
      </c>
      <c r="E41" s="135"/>
      <c r="F41" s="135">
        <v>200</v>
      </c>
      <c r="G41" s="135">
        <v>0</v>
      </c>
      <c r="H41" s="135">
        <v>0</v>
      </c>
      <c r="I41" s="135">
        <v>3</v>
      </c>
      <c r="J41" s="135">
        <v>3</v>
      </c>
      <c r="K41" s="136">
        <f t="shared" si="2"/>
        <v>0</v>
      </c>
      <c r="L41" s="136">
        <f t="shared" si="3"/>
        <v>0</v>
      </c>
      <c r="M41" s="136">
        <f t="shared" si="4"/>
        <v>600</v>
      </c>
      <c r="N41" s="136">
        <f t="shared" si="5"/>
        <v>600</v>
      </c>
      <c r="O41" s="136">
        <f t="shared" si="6"/>
        <v>0</v>
      </c>
      <c r="P41" s="136">
        <f t="shared" si="7"/>
        <v>0</v>
      </c>
      <c r="Q41" s="136">
        <f t="shared" si="8"/>
        <v>0</v>
      </c>
      <c r="R41" s="136">
        <f t="shared" si="9"/>
        <v>0</v>
      </c>
    </row>
    <row r="42" spans="1:18" x14ac:dyDescent="0.25">
      <c r="A42" s="111"/>
      <c r="B42" s="136" t="s">
        <v>749</v>
      </c>
      <c r="C42" s="135">
        <v>6</v>
      </c>
      <c r="D42" s="135" t="s">
        <v>718</v>
      </c>
      <c r="E42" s="135"/>
      <c r="F42" s="135">
        <v>200</v>
      </c>
      <c r="G42" s="135">
        <v>0</v>
      </c>
      <c r="H42" s="135">
        <v>0</v>
      </c>
      <c r="I42" s="135">
        <v>2</v>
      </c>
      <c r="J42" s="135">
        <v>2</v>
      </c>
      <c r="K42" s="136">
        <f t="shared" si="2"/>
        <v>0</v>
      </c>
      <c r="L42" s="136">
        <f t="shared" si="3"/>
        <v>0</v>
      </c>
      <c r="M42" s="136">
        <f t="shared" si="4"/>
        <v>400</v>
      </c>
      <c r="N42" s="136">
        <f t="shared" si="5"/>
        <v>400</v>
      </c>
      <c r="O42" s="136">
        <f t="shared" si="6"/>
        <v>0</v>
      </c>
      <c r="P42" s="136">
        <f t="shared" si="7"/>
        <v>0</v>
      </c>
      <c r="Q42" s="136">
        <f t="shared" si="8"/>
        <v>0</v>
      </c>
      <c r="R42" s="136">
        <f t="shared" si="9"/>
        <v>0</v>
      </c>
    </row>
    <row r="43" spans="1:18" x14ac:dyDescent="0.25">
      <c r="A43" s="111"/>
      <c r="B43" s="138" t="s">
        <v>612</v>
      </c>
      <c r="C43" s="139">
        <v>2</v>
      </c>
      <c r="D43" s="139" t="s">
        <v>720</v>
      </c>
      <c r="E43" s="139">
        <v>5</v>
      </c>
      <c r="F43" s="139">
        <v>2000</v>
      </c>
      <c r="G43" s="139">
        <v>1</v>
      </c>
      <c r="H43" s="139">
        <v>1</v>
      </c>
      <c r="I43" s="139">
        <v>2</v>
      </c>
      <c r="J43" s="139">
        <v>2</v>
      </c>
      <c r="K43" s="136">
        <f t="shared" si="2"/>
        <v>2000</v>
      </c>
      <c r="L43" s="136">
        <f t="shared" si="3"/>
        <v>2000</v>
      </c>
      <c r="M43" s="136">
        <f t="shared" si="4"/>
        <v>4000</v>
      </c>
      <c r="N43" s="136">
        <f t="shared" si="5"/>
        <v>4000</v>
      </c>
      <c r="O43" s="136">
        <f t="shared" si="6"/>
        <v>400</v>
      </c>
      <c r="P43" s="136">
        <f t="shared" si="7"/>
        <v>400</v>
      </c>
      <c r="Q43" s="136">
        <f t="shared" si="8"/>
        <v>800</v>
      </c>
      <c r="R43" s="136">
        <f t="shared" si="9"/>
        <v>800</v>
      </c>
    </row>
    <row r="44" spans="1:18" x14ac:dyDescent="0.25">
      <c r="A44" s="111"/>
      <c r="B44" s="136" t="s">
        <v>750</v>
      </c>
      <c r="C44" s="135">
        <v>5</v>
      </c>
      <c r="D44" s="135" t="s">
        <v>718</v>
      </c>
      <c r="E44" s="135"/>
      <c r="F44" s="135">
        <v>125</v>
      </c>
      <c r="G44" s="135">
        <v>1</v>
      </c>
      <c r="H44" s="135">
        <v>1</v>
      </c>
      <c r="I44" s="135">
        <v>3</v>
      </c>
      <c r="J44" s="135">
        <v>3</v>
      </c>
      <c r="K44" s="136">
        <f t="shared" si="2"/>
        <v>125</v>
      </c>
      <c r="L44" s="136">
        <f t="shared" si="3"/>
        <v>125</v>
      </c>
      <c r="M44" s="136">
        <f t="shared" si="4"/>
        <v>375</v>
      </c>
      <c r="N44" s="136">
        <f t="shared" si="5"/>
        <v>375</v>
      </c>
      <c r="O44" s="136">
        <f t="shared" si="6"/>
        <v>0</v>
      </c>
      <c r="P44" s="136">
        <f t="shared" si="7"/>
        <v>0</v>
      </c>
      <c r="Q44" s="136">
        <f t="shared" si="8"/>
        <v>0</v>
      </c>
      <c r="R44" s="136">
        <f t="shared" si="9"/>
        <v>0</v>
      </c>
    </row>
    <row r="45" spans="1:18" x14ac:dyDescent="0.25">
      <c r="A45" s="111"/>
      <c r="B45" s="136" t="s">
        <v>629</v>
      </c>
      <c r="C45" s="135">
        <v>10</v>
      </c>
      <c r="D45" s="135" t="s">
        <v>720</v>
      </c>
      <c r="E45" s="135">
        <v>8</v>
      </c>
      <c r="F45" s="135">
        <v>100000</v>
      </c>
      <c r="G45" s="135">
        <v>1</v>
      </c>
      <c r="H45" s="135">
        <v>1</v>
      </c>
      <c r="I45" s="135">
        <v>1</v>
      </c>
      <c r="J45" s="135">
        <v>1</v>
      </c>
      <c r="K45" s="136">
        <f t="shared" si="2"/>
        <v>100000</v>
      </c>
      <c r="L45" s="136">
        <f t="shared" si="3"/>
        <v>100000</v>
      </c>
      <c r="M45" s="136">
        <f t="shared" si="4"/>
        <v>100000</v>
      </c>
      <c r="N45" s="136">
        <f t="shared" si="5"/>
        <v>100000</v>
      </c>
      <c r="O45" s="136">
        <f t="shared" si="6"/>
        <v>12500</v>
      </c>
      <c r="P45" s="136">
        <f t="shared" si="7"/>
        <v>12500</v>
      </c>
      <c r="Q45" s="136">
        <f t="shared" si="8"/>
        <v>12500</v>
      </c>
      <c r="R45" s="136">
        <f t="shared" si="9"/>
        <v>12500</v>
      </c>
    </row>
    <row r="46" spans="1:18" x14ac:dyDescent="0.25">
      <c r="A46" s="111"/>
      <c r="B46" s="136" t="s">
        <v>751</v>
      </c>
      <c r="C46" s="135">
        <v>10</v>
      </c>
      <c r="D46" s="135" t="s">
        <v>718</v>
      </c>
      <c r="E46" s="135"/>
      <c r="F46" s="135">
        <v>100</v>
      </c>
      <c r="G46" s="135">
        <v>6</v>
      </c>
      <c r="H46" s="135">
        <v>6</v>
      </c>
      <c r="I46" s="135">
        <v>12</v>
      </c>
      <c r="J46" s="135">
        <v>12</v>
      </c>
      <c r="K46" s="136">
        <f t="shared" si="2"/>
        <v>600</v>
      </c>
      <c r="L46" s="136">
        <f t="shared" si="3"/>
        <v>600</v>
      </c>
      <c r="M46" s="136">
        <f t="shared" si="4"/>
        <v>1200</v>
      </c>
      <c r="N46" s="136">
        <f t="shared" si="5"/>
        <v>1200</v>
      </c>
      <c r="O46" s="136">
        <f t="shared" si="6"/>
        <v>0</v>
      </c>
      <c r="P46" s="136">
        <f t="shared" si="7"/>
        <v>0</v>
      </c>
      <c r="Q46" s="136">
        <f t="shared" si="8"/>
        <v>0</v>
      </c>
      <c r="R46" s="136">
        <f t="shared" si="9"/>
        <v>0</v>
      </c>
    </row>
    <row r="47" spans="1:18" ht="15" customHeight="1" x14ac:dyDescent="0.25">
      <c r="A47" s="111"/>
      <c r="B47" s="136" t="s">
        <v>752</v>
      </c>
      <c r="C47" s="135">
        <v>10</v>
      </c>
      <c r="D47" s="135" t="s">
        <v>718</v>
      </c>
      <c r="E47" s="135"/>
      <c r="F47" s="135">
        <v>50</v>
      </c>
      <c r="G47" s="135">
        <v>6</v>
      </c>
      <c r="H47" s="135">
        <v>6</v>
      </c>
      <c r="I47" s="135">
        <v>12</v>
      </c>
      <c r="J47" s="135">
        <v>12</v>
      </c>
      <c r="K47" s="136">
        <f t="shared" si="2"/>
        <v>300</v>
      </c>
      <c r="L47" s="136">
        <f t="shared" si="3"/>
        <v>300</v>
      </c>
      <c r="M47" s="136">
        <f t="shared" si="4"/>
        <v>600</v>
      </c>
      <c r="N47" s="136">
        <f t="shared" si="5"/>
        <v>600</v>
      </c>
      <c r="O47" s="136">
        <f t="shared" si="6"/>
        <v>0</v>
      </c>
      <c r="P47" s="136">
        <f t="shared" si="7"/>
        <v>0</v>
      </c>
      <c r="Q47" s="136">
        <f t="shared" si="8"/>
        <v>0</v>
      </c>
      <c r="R47" s="136">
        <f t="shared" si="9"/>
        <v>0</v>
      </c>
    </row>
    <row r="48" spans="1:18" x14ac:dyDescent="0.25">
      <c r="A48" s="111"/>
      <c r="B48" s="138" t="s">
        <v>753</v>
      </c>
      <c r="C48" s="139">
        <v>2</v>
      </c>
      <c r="D48" s="139" t="s">
        <v>720</v>
      </c>
      <c r="E48" s="139">
        <v>5</v>
      </c>
      <c r="F48" s="139">
        <v>1000</v>
      </c>
      <c r="G48" s="139">
        <v>1</v>
      </c>
      <c r="H48" s="139">
        <v>1</v>
      </c>
      <c r="I48" s="139">
        <v>1</v>
      </c>
      <c r="J48" s="139">
        <v>1</v>
      </c>
      <c r="K48" s="136">
        <f t="shared" si="2"/>
        <v>1000</v>
      </c>
      <c r="L48" s="136">
        <f t="shared" si="3"/>
        <v>1000</v>
      </c>
      <c r="M48" s="136">
        <f t="shared" si="4"/>
        <v>1000</v>
      </c>
      <c r="N48" s="136">
        <f t="shared" si="5"/>
        <v>1000</v>
      </c>
      <c r="O48" s="136">
        <f t="shared" si="6"/>
        <v>200</v>
      </c>
      <c r="P48" s="136">
        <f t="shared" si="7"/>
        <v>200</v>
      </c>
      <c r="Q48" s="136">
        <f t="shared" si="8"/>
        <v>200</v>
      </c>
      <c r="R48" s="136">
        <f t="shared" si="9"/>
        <v>200</v>
      </c>
    </row>
    <row r="49" spans="1:18" x14ac:dyDescent="0.25">
      <c r="A49" s="111"/>
      <c r="B49" s="140" t="s">
        <v>754</v>
      </c>
      <c r="C49" s="139">
        <v>2</v>
      </c>
      <c r="D49" s="139" t="s">
        <v>720</v>
      </c>
      <c r="E49" s="139">
        <v>5</v>
      </c>
      <c r="F49" s="139">
        <v>500</v>
      </c>
      <c r="G49" s="139">
        <v>2</v>
      </c>
      <c r="H49" s="139">
        <v>2</v>
      </c>
      <c r="I49" s="139">
        <v>4</v>
      </c>
      <c r="J49" s="139">
        <v>4</v>
      </c>
      <c r="K49" s="136">
        <f t="shared" si="2"/>
        <v>1000</v>
      </c>
      <c r="L49" s="136">
        <f t="shared" si="3"/>
        <v>1000</v>
      </c>
      <c r="M49" s="136">
        <f t="shared" si="4"/>
        <v>2000</v>
      </c>
      <c r="N49" s="136">
        <f t="shared" si="5"/>
        <v>2000</v>
      </c>
      <c r="O49" s="136">
        <f t="shared" si="6"/>
        <v>200</v>
      </c>
      <c r="P49" s="136">
        <f t="shared" si="7"/>
        <v>200</v>
      </c>
      <c r="Q49" s="136">
        <f t="shared" si="8"/>
        <v>400</v>
      </c>
      <c r="R49" s="136">
        <f t="shared" si="9"/>
        <v>400</v>
      </c>
    </row>
    <row r="50" spans="1:18" x14ac:dyDescent="0.25">
      <c r="A50" s="111"/>
      <c r="B50" s="136" t="s">
        <v>755</v>
      </c>
      <c r="C50" s="135">
        <v>5</v>
      </c>
      <c r="D50" s="135" t="s">
        <v>718</v>
      </c>
      <c r="E50" s="135"/>
      <c r="F50" s="135">
        <v>1500</v>
      </c>
      <c r="G50" s="135">
        <v>2</v>
      </c>
      <c r="H50" s="135">
        <v>3</v>
      </c>
      <c r="I50" s="135">
        <v>4</v>
      </c>
      <c r="J50" s="135">
        <v>4</v>
      </c>
      <c r="K50" s="136">
        <f t="shared" si="2"/>
        <v>3000</v>
      </c>
      <c r="L50" s="136">
        <f t="shared" si="3"/>
        <v>4500</v>
      </c>
      <c r="M50" s="136">
        <f t="shared" si="4"/>
        <v>6000</v>
      </c>
      <c r="N50" s="136">
        <f t="shared" si="5"/>
        <v>6000</v>
      </c>
      <c r="O50" s="136">
        <f t="shared" si="6"/>
        <v>0</v>
      </c>
      <c r="P50" s="136">
        <f t="shared" si="7"/>
        <v>0</v>
      </c>
      <c r="Q50" s="136">
        <f t="shared" si="8"/>
        <v>0</v>
      </c>
      <c r="R50" s="136">
        <f t="shared" si="9"/>
        <v>0</v>
      </c>
    </row>
    <row r="51" spans="1:18" x14ac:dyDescent="0.25">
      <c r="A51" s="111"/>
      <c r="B51" s="138" t="s">
        <v>597</v>
      </c>
      <c r="C51" s="139">
        <v>2</v>
      </c>
      <c r="D51" s="139" t="s">
        <v>718</v>
      </c>
      <c r="E51" s="139"/>
      <c r="F51" s="139">
        <v>100</v>
      </c>
      <c r="G51" s="139">
        <v>12</v>
      </c>
      <c r="H51" s="139">
        <v>12</v>
      </c>
      <c r="I51" s="139">
        <v>48</v>
      </c>
      <c r="J51" s="139">
        <v>48</v>
      </c>
      <c r="K51" s="136">
        <f t="shared" si="2"/>
        <v>1200</v>
      </c>
      <c r="L51" s="136">
        <f t="shared" si="3"/>
        <v>1200</v>
      </c>
      <c r="M51" s="136">
        <f t="shared" si="4"/>
        <v>4800</v>
      </c>
      <c r="N51" s="136">
        <f t="shared" si="5"/>
        <v>4800</v>
      </c>
      <c r="O51" s="136">
        <f t="shared" si="6"/>
        <v>0</v>
      </c>
      <c r="P51" s="136">
        <f t="shared" si="7"/>
        <v>0</v>
      </c>
      <c r="Q51" s="136">
        <f t="shared" si="8"/>
        <v>0</v>
      </c>
      <c r="R51" s="136">
        <f t="shared" si="9"/>
        <v>0</v>
      </c>
    </row>
    <row r="52" spans="1:18" x14ac:dyDescent="0.25">
      <c r="A52" s="111"/>
      <c r="B52" s="138" t="s">
        <v>611</v>
      </c>
      <c r="C52" s="139">
        <v>2</v>
      </c>
      <c r="D52" s="139" t="s">
        <v>720</v>
      </c>
      <c r="E52" s="139">
        <v>5</v>
      </c>
      <c r="F52" s="139">
        <v>17000</v>
      </c>
      <c r="G52" s="139">
        <v>1</v>
      </c>
      <c r="H52" s="139">
        <v>1</v>
      </c>
      <c r="I52" s="139">
        <v>1</v>
      </c>
      <c r="J52" s="139">
        <v>1</v>
      </c>
      <c r="K52" s="136">
        <f t="shared" si="2"/>
        <v>17000</v>
      </c>
      <c r="L52" s="136">
        <f t="shared" si="3"/>
        <v>17000</v>
      </c>
      <c r="M52" s="136">
        <f t="shared" si="4"/>
        <v>17000</v>
      </c>
      <c r="N52" s="136">
        <f t="shared" si="5"/>
        <v>17000</v>
      </c>
      <c r="O52" s="136">
        <f t="shared" si="6"/>
        <v>3400</v>
      </c>
      <c r="P52" s="136">
        <f t="shared" si="7"/>
        <v>3400</v>
      </c>
      <c r="Q52" s="136">
        <f t="shared" si="8"/>
        <v>3400</v>
      </c>
      <c r="R52" s="136">
        <f t="shared" si="9"/>
        <v>3400</v>
      </c>
    </row>
    <row r="53" spans="1:18" ht="30" x14ac:dyDescent="0.25">
      <c r="A53" s="111"/>
      <c r="B53" s="136" t="s">
        <v>652</v>
      </c>
      <c r="C53" s="135">
        <v>14</v>
      </c>
      <c r="D53" s="135" t="s">
        <v>720</v>
      </c>
      <c r="E53" s="135">
        <v>5</v>
      </c>
      <c r="F53" s="135">
        <v>75000</v>
      </c>
      <c r="G53" s="135">
        <v>1</v>
      </c>
      <c r="H53" s="135">
        <v>1</v>
      </c>
      <c r="I53" s="135">
        <v>1</v>
      </c>
      <c r="J53" s="135">
        <v>1</v>
      </c>
      <c r="K53" s="136">
        <f t="shared" si="2"/>
        <v>75000</v>
      </c>
      <c r="L53" s="136">
        <f t="shared" si="3"/>
        <v>75000</v>
      </c>
      <c r="M53" s="136">
        <f t="shared" si="4"/>
        <v>75000</v>
      </c>
      <c r="N53" s="136">
        <f t="shared" si="5"/>
        <v>75000</v>
      </c>
      <c r="O53" s="136">
        <f t="shared" si="6"/>
        <v>15000</v>
      </c>
      <c r="P53" s="136">
        <f t="shared" si="7"/>
        <v>15000</v>
      </c>
      <c r="Q53" s="136">
        <f t="shared" si="8"/>
        <v>15000</v>
      </c>
      <c r="R53" s="136">
        <f t="shared" si="9"/>
        <v>15000</v>
      </c>
    </row>
    <row r="54" spans="1:18" x14ac:dyDescent="0.25">
      <c r="A54" s="111"/>
      <c r="B54" s="136" t="s">
        <v>756</v>
      </c>
      <c r="C54" s="135">
        <v>6</v>
      </c>
      <c r="D54" s="135" t="s">
        <v>718</v>
      </c>
      <c r="E54" s="135"/>
      <c r="F54" s="135">
        <v>300</v>
      </c>
      <c r="G54" s="135">
        <v>0</v>
      </c>
      <c r="H54" s="135">
        <v>0</v>
      </c>
      <c r="I54" s="135">
        <v>2</v>
      </c>
      <c r="J54" s="135">
        <v>2</v>
      </c>
      <c r="K54" s="136">
        <f t="shared" si="2"/>
        <v>0</v>
      </c>
      <c r="L54" s="136">
        <f t="shared" si="3"/>
        <v>0</v>
      </c>
      <c r="M54" s="136">
        <f t="shared" si="4"/>
        <v>600</v>
      </c>
      <c r="N54" s="136">
        <f t="shared" si="5"/>
        <v>600</v>
      </c>
      <c r="O54" s="136">
        <f t="shared" si="6"/>
        <v>0</v>
      </c>
      <c r="P54" s="136">
        <f t="shared" si="7"/>
        <v>0</v>
      </c>
      <c r="Q54" s="136">
        <f t="shared" si="8"/>
        <v>0</v>
      </c>
      <c r="R54" s="136">
        <f t="shared" si="9"/>
        <v>0</v>
      </c>
    </row>
    <row r="55" spans="1:18" ht="30" x14ac:dyDescent="0.25">
      <c r="A55" s="111"/>
      <c r="B55" s="136" t="s">
        <v>757</v>
      </c>
      <c r="C55" s="135">
        <v>5</v>
      </c>
      <c r="D55" s="135" t="s">
        <v>720</v>
      </c>
      <c r="E55" s="135">
        <v>5</v>
      </c>
      <c r="F55" s="135">
        <v>400</v>
      </c>
      <c r="G55" s="135">
        <v>2</v>
      </c>
      <c r="H55" s="135">
        <v>3</v>
      </c>
      <c r="I55" s="135">
        <v>3</v>
      </c>
      <c r="J55" s="135">
        <v>3</v>
      </c>
      <c r="K55" s="136">
        <f t="shared" si="2"/>
        <v>800</v>
      </c>
      <c r="L55" s="136">
        <f t="shared" si="3"/>
        <v>1200</v>
      </c>
      <c r="M55" s="136">
        <f t="shared" si="4"/>
        <v>1200</v>
      </c>
      <c r="N55" s="136">
        <f t="shared" si="5"/>
        <v>1200</v>
      </c>
      <c r="O55" s="136">
        <f t="shared" si="6"/>
        <v>160</v>
      </c>
      <c r="P55" s="136">
        <f t="shared" si="7"/>
        <v>240</v>
      </c>
      <c r="Q55" s="136">
        <f t="shared" si="8"/>
        <v>240</v>
      </c>
      <c r="R55" s="136">
        <f t="shared" si="9"/>
        <v>240</v>
      </c>
    </row>
    <row r="56" spans="1:18" x14ac:dyDescent="0.25">
      <c r="A56" s="111"/>
      <c r="B56" s="136" t="s">
        <v>758</v>
      </c>
      <c r="C56" s="135">
        <v>5</v>
      </c>
      <c r="D56" s="135" t="s">
        <v>720</v>
      </c>
      <c r="E56" s="135">
        <v>8</v>
      </c>
      <c r="F56" s="135">
        <v>300000</v>
      </c>
      <c r="G56" s="135">
        <v>0</v>
      </c>
      <c r="H56" s="135">
        <v>0</v>
      </c>
      <c r="I56" s="135">
        <v>1</v>
      </c>
      <c r="J56" s="135">
        <v>1</v>
      </c>
      <c r="K56" s="136">
        <f t="shared" si="2"/>
        <v>0</v>
      </c>
      <c r="L56" s="136">
        <f t="shared" si="3"/>
        <v>0</v>
      </c>
      <c r="M56" s="136">
        <f t="shared" si="4"/>
        <v>300000</v>
      </c>
      <c r="N56" s="136">
        <f t="shared" si="5"/>
        <v>300000</v>
      </c>
      <c r="O56" s="136">
        <f t="shared" si="6"/>
        <v>0</v>
      </c>
      <c r="P56" s="136">
        <f t="shared" si="7"/>
        <v>0</v>
      </c>
      <c r="Q56" s="136">
        <f t="shared" si="8"/>
        <v>37500</v>
      </c>
      <c r="R56" s="136">
        <f t="shared" si="9"/>
        <v>37500</v>
      </c>
    </row>
    <row r="57" spans="1:18" x14ac:dyDescent="0.25">
      <c r="A57" s="111"/>
      <c r="B57" s="136" t="s">
        <v>625</v>
      </c>
      <c r="C57" s="135">
        <v>5</v>
      </c>
      <c r="D57" s="135" t="s">
        <v>720</v>
      </c>
      <c r="E57" s="135">
        <v>8</v>
      </c>
      <c r="F57" s="135">
        <v>1500</v>
      </c>
      <c r="G57" s="135">
        <v>0</v>
      </c>
      <c r="H57" s="135">
        <v>0</v>
      </c>
      <c r="I57" s="135">
        <v>2</v>
      </c>
      <c r="J57" s="135">
        <v>2</v>
      </c>
      <c r="K57" s="136">
        <f t="shared" si="2"/>
        <v>0</v>
      </c>
      <c r="L57" s="136">
        <f t="shared" si="3"/>
        <v>0</v>
      </c>
      <c r="M57" s="136">
        <f t="shared" si="4"/>
        <v>3000</v>
      </c>
      <c r="N57" s="136">
        <f t="shared" si="5"/>
        <v>3000</v>
      </c>
      <c r="O57" s="136">
        <f t="shared" si="6"/>
        <v>0</v>
      </c>
      <c r="P57" s="136">
        <f t="shared" si="7"/>
        <v>0</v>
      </c>
      <c r="Q57" s="136">
        <f t="shared" si="8"/>
        <v>375</v>
      </c>
      <c r="R57" s="136">
        <f t="shared" si="9"/>
        <v>375</v>
      </c>
    </row>
    <row r="58" spans="1:18" x14ac:dyDescent="0.25">
      <c r="A58" s="111"/>
      <c r="B58" s="136" t="s">
        <v>759</v>
      </c>
      <c r="C58" s="135">
        <v>6</v>
      </c>
      <c r="D58" s="135" t="s">
        <v>720</v>
      </c>
      <c r="E58" s="135">
        <v>8</v>
      </c>
      <c r="F58" s="135">
        <v>300000</v>
      </c>
      <c r="G58" s="135">
        <v>0</v>
      </c>
      <c r="H58" s="135">
        <v>0</v>
      </c>
      <c r="I58" s="135">
        <v>0</v>
      </c>
      <c r="J58" s="135">
        <v>1</v>
      </c>
      <c r="K58" s="136">
        <f t="shared" si="2"/>
        <v>0</v>
      </c>
      <c r="L58" s="136">
        <f t="shared" si="3"/>
        <v>0</v>
      </c>
      <c r="M58" s="136">
        <f t="shared" si="4"/>
        <v>0</v>
      </c>
      <c r="N58" s="136">
        <f t="shared" si="5"/>
        <v>300000</v>
      </c>
      <c r="O58" s="136">
        <f t="shared" si="6"/>
        <v>0</v>
      </c>
      <c r="P58" s="136">
        <f t="shared" si="7"/>
        <v>0</v>
      </c>
      <c r="Q58" s="136">
        <f t="shared" si="8"/>
        <v>0</v>
      </c>
      <c r="R58" s="136">
        <f t="shared" si="9"/>
        <v>37500</v>
      </c>
    </row>
    <row r="59" spans="1:18" x14ac:dyDescent="0.25">
      <c r="A59" s="111"/>
      <c r="B59" s="136" t="s">
        <v>635</v>
      </c>
      <c r="C59" s="135">
        <v>12</v>
      </c>
      <c r="D59" s="135" t="s">
        <v>720</v>
      </c>
      <c r="E59" s="135">
        <v>8</v>
      </c>
      <c r="F59" s="135">
        <v>15000</v>
      </c>
      <c r="G59" s="135">
        <v>0</v>
      </c>
      <c r="H59" s="135">
        <v>0</v>
      </c>
      <c r="I59" s="135">
        <v>1</v>
      </c>
      <c r="J59" s="135">
        <v>1</v>
      </c>
      <c r="K59" s="136">
        <f t="shared" si="2"/>
        <v>0</v>
      </c>
      <c r="L59" s="136">
        <f t="shared" si="3"/>
        <v>0</v>
      </c>
      <c r="M59" s="136">
        <f t="shared" si="4"/>
        <v>15000</v>
      </c>
      <c r="N59" s="136">
        <f t="shared" si="5"/>
        <v>15000</v>
      </c>
      <c r="O59" s="136">
        <f t="shared" si="6"/>
        <v>0</v>
      </c>
      <c r="P59" s="136">
        <f t="shared" si="7"/>
        <v>0</v>
      </c>
      <c r="Q59" s="136">
        <f t="shared" si="8"/>
        <v>1875</v>
      </c>
      <c r="R59" s="136">
        <f t="shared" si="9"/>
        <v>1875</v>
      </c>
    </row>
    <row r="60" spans="1:18" x14ac:dyDescent="0.25">
      <c r="A60" s="111"/>
      <c r="B60" s="136" t="s">
        <v>634</v>
      </c>
      <c r="C60" s="135">
        <v>12</v>
      </c>
      <c r="D60" s="135" t="s">
        <v>720</v>
      </c>
      <c r="E60" s="135">
        <v>8</v>
      </c>
      <c r="F60" s="135">
        <v>5000</v>
      </c>
      <c r="G60" s="135">
        <v>0</v>
      </c>
      <c r="H60" s="135">
        <v>0</v>
      </c>
      <c r="I60" s="135">
        <v>2</v>
      </c>
      <c r="J60" s="135">
        <v>2</v>
      </c>
      <c r="K60" s="136">
        <f t="shared" si="2"/>
        <v>0</v>
      </c>
      <c r="L60" s="136">
        <f t="shared" si="3"/>
        <v>0</v>
      </c>
      <c r="M60" s="136">
        <f t="shared" si="4"/>
        <v>10000</v>
      </c>
      <c r="N60" s="136">
        <f t="shared" si="5"/>
        <v>10000</v>
      </c>
      <c r="O60" s="136">
        <f t="shared" si="6"/>
        <v>0</v>
      </c>
      <c r="P60" s="136">
        <f t="shared" si="7"/>
        <v>0</v>
      </c>
      <c r="Q60" s="136">
        <f t="shared" si="8"/>
        <v>1250</v>
      </c>
      <c r="R60" s="136">
        <f t="shared" si="9"/>
        <v>1250</v>
      </c>
    </row>
    <row r="61" spans="1:18" x14ac:dyDescent="0.25">
      <c r="A61" s="111"/>
      <c r="B61" s="136" t="s">
        <v>640</v>
      </c>
      <c r="C61" s="135">
        <v>12</v>
      </c>
      <c r="D61" s="135" t="s">
        <v>720</v>
      </c>
      <c r="E61" s="135">
        <v>8</v>
      </c>
      <c r="F61" s="135">
        <v>6500</v>
      </c>
      <c r="G61" s="135">
        <v>0</v>
      </c>
      <c r="H61" s="135">
        <v>0</v>
      </c>
      <c r="I61" s="135">
        <v>1</v>
      </c>
      <c r="J61" s="135">
        <v>1</v>
      </c>
      <c r="K61" s="136">
        <f t="shared" si="2"/>
        <v>0</v>
      </c>
      <c r="L61" s="136">
        <f t="shared" si="3"/>
        <v>0</v>
      </c>
      <c r="M61" s="136">
        <f t="shared" si="4"/>
        <v>6500</v>
      </c>
      <c r="N61" s="136">
        <f t="shared" si="5"/>
        <v>6500</v>
      </c>
      <c r="O61" s="136">
        <f t="shared" si="6"/>
        <v>0</v>
      </c>
      <c r="P61" s="136">
        <f t="shared" si="7"/>
        <v>0</v>
      </c>
      <c r="Q61" s="136">
        <f t="shared" si="8"/>
        <v>812.5</v>
      </c>
      <c r="R61" s="136">
        <f t="shared" si="9"/>
        <v>812.5</v>
      </c>
    </row>
    <row r="62" spans="1:18" ht="45" x14ac:dyDescent="0.25">
      <c r="A62" s="111"/>
      <c r="B62" s="136" t="s">
        <v>760</v>
      </c>
      <c r="C62" s="135">
        <v>12</v>
      </c>
      <c r="D62" s="135" t="s">
        <v>720</v>
      </c>
      <c r="E62" s="135">
        <v>8</v>
      </c>
      <c r="F62" s="135">
        <v>300000</v>
      </c>
      <c r="G62" s="135">
        <v>0</v>
      </c>
      <c r="H62" s="135">
        <v>0</v>
      </c>
      <c r="I62" s="135">
        <v>1</v>
      </c>
      <c r="J62" s="135">
        <v>1</v>
      </c>
      <c r="K62" s="136">
        <f t="shared" si="2"/>
        <v>0</v>
      </c>
      <c r="L62" s="136">
        <f t="shared" si="3"/>
        <v>0</v>
      </c>
      <c r="M62" s="136">
        <f t="shared" si="4"/>
        <v>300000</v>
      </c>
      <c r="N62" s="136">
        <f t="shared" si="5"/>
        <v>300000</v>
      </c>
      <c r="O62" s="136">
        <f t="shared" si="6"/>
        <v>0</v>
      </c>
      <c r="P62" s="136">
        <f t="shared" si="7"/>
        <v>0</v>
      </c>
      <c r="Q62" s="136">
        <f t="shared" si="8"/>
        <v>37500</v>
      </c>
      <c r="R62" s="136">
        <f t="shared" si="9"/>
        <v>37500</v>
      </c>
    </row>
    <row r="63" spans="1:18" x14ac:dyDescent="0.25">
      <c r="A63" s="111"/>
      <c r="B63" s="136" t="s">
        <v>636</v>
      </c>
      <c r="C63" s="135">
        <v>12</v>
      </c>
      <c r="D63" s="135" t="s">
        <v>720</v>
      </c>
      <c r="E63" s="135">
        <v>8</v>
      </c>
      <c r="F63" s="135">
        <v>100000</v>
      </c>
      <c r="G63" s="135">
        <v>0</v>
      </c>
      <c r="H63" s="135">
        <v>0</v>
      </c>
      <c r="I63" s="135">
        <v>1</v>
      </c>
      <c r="J63" s="135">
        <v>1</v>
      </c>
      <c r="K63" s="136">
        <f t="shared" si="2"/>
        <v>0</v>
      </c>
      <c r="L63" s="136">
        <f t="shared" si="3"/>
        <v>0</v>
      </c>
      <c r="M63" s="136">
        <f t="shared" si="4"/>
        <v>100000</v>
      </c>
      <c r="N63" s="136">
        <f t="shared" si="5"/>
        <v>100000</v>
      </c>
      <c r="O63" s="136">
        <f t="shared" si="6"/>
        <v>0</v>
      </c>
      <c r="P63" s="136">
        <f t="shared" si="7"/>
        <v>0</v>
      </c>
      <c r="Q63" s="136">
        <f t="shared" si="8"/>
        <v>12500</v>
      </c>
      <c r="R63" s="136">
        <f t="shared" si="9"/>
        <v>12500</v>
      </c>
    </row>
    <row r="64" spans="1:18" x14ac:dyDescent="0.25">
      <c r="A64" s="111"/>
      <c r="B64" s="136" t="s">
        <v>644</v>
      </c>
      <c r="C64" s="135">
        <v>11</v>
      </c>
      <c r="D64" s="135" t="s">
        <v>720</v>
      </c>
      <c r="E64" s="135">
        <v>8</v>
      </c>
      <c r="F64" s="135">
        <v>4000</v>
      </c>
      <c r="G64" s="135">
        <v>0</v>
      </c>
      <c r="H64" s="135">
        <v>0</v>
      </c>
      <c r="I64" s="135">
        <v>1</v>
      </c>
      <c r="J64" s="135">
        <v>1</v>
      </c>
      <c r="K64" s="136">
        <f t="shared" si="2"/>
        <v>0</v>
      </c>
      <c r="L64" s="136">
        <f t="shared" si="3"/>
        <v>0</v>
      </c>
      <c r="M64" s="136">
        <f t="shared" si="4"/>
        <v>4000</v>
      </c>
      <c r="N64" s="136">
        <f t="shared" si="5"/>
        <v>4000</v>
      </c>
      <c r="O64" s="136">
        <f t="shared" si="6"/>
        <v>0</v>
      </c>
      <c r="P64" s="136">
        <f t="shared" si="7"/>
        <v>0</v>
      </c>
      <c r="Q64" s="136">
        <f t="shared" si="8"/>
        <v>500</v>
      </c>
      <c r="R64" s="136">
        <f t="shared" si="9"/>
        <v>500</v>
      </c>
    </row>
    <row r="65" spans="1:18" x14ac:dyDescent="0.25">
      <c r="A65" s="111"/>
      <c r="B65" s="136" t="s">
        <v>761</v>
      </c>
      <c r="C65" s="135">
        <v>7</v>
      </c>
      <c r="D65" s="135" t="s">
        <v>720</v>
      </c>
      <c r="E65" s="135">
        <v>5</v>
      </c>
      <c r="F65" s="135">
        <v>150</v>
      </c>
      <c r="G65" s="135">
        <v>0</v>
      </c>
      <c r="H65" s="135">
        <v>0</v>
      </c>
      <c r="I65" s="135">
        <v>0</v>
      </c>
      <c r="J65" s="135">
        <v>2</v>
      </c>
      <c r="K65" s="136">
        <f t="shared" si="2"/>
        <v>0</v>
      </c>
      <c r="L65" s="136">
        <f t="shared" si="3"/>
        <v>0</v>
      </c>
      <c r="M65" s="136">
        <f t="shared" si="4"/>
        <v>0</v>
      </c>
      <c r="N65" s="136">
        <f t="shared" si="5"/>
        <v>300</v>
      </c>
      <c r="O65" s="136">
        <f t="shared" si="6"/>
        <v>0</v>
      </c>
      <c r="P65" s="136">
        <f t="shared" si="7"/>
        <v>0</v>
      </c>
      <c r="Q65" s="136">
        <f t="shared" si="8"/>
        <v>0</v>
      </c>
      <c r="R65" s="136">
        <f t="shared" si="9"/>
        <v>60</v>
      </c>
    </row>
    <row r="66" spans="1:18" x14ac:dyDescent="0.25">
      <c r="A66" s="111"/>
      <c r="B66" s="136" t="s">
        <v>762</v>
      </c>
      <c r="C66" s="135">
        <v>10</v>
      </c>
      <c r="D66" s="135" t="s">
        <v>720</v>
      </c>
      <c r="E66" s="135">
        <v>8</v>
      </c>
      <c r="F66" s="135">
        <v>2000</v>
      </c>
      <c r="G66" s="135">
        <v>1</v>
      </c>
      <c r="H66" s="135">
        <v>1</v>
      </c>
      <c r="I66" s="135">
        <v>1</v>
      </c>
      <c r="J66" s="135">
        <v>1</v>
      </c>
      <c r="K66" s="136">
        <f t="shared" si="2"/>
        <v>2000</v>
      </c>
      <c r="L66" s="136">
        <f t="shared" si="3"/>
        <v>2000</v>
      </c>
      <c r="M66" s="136">
        <f t="shared" si="4"/>
        <v>2000</v>
      </c>
      <c r="N66" s="136">
        <f t="shared" si="5"/>
        <v>2000</v>
      </c>
      <c r="O66" s="136">
        <f t="shared" si="6"/>
        <v>250</v>
      </c>
      <c r="P66" s="136">
        <f t="shared" si="7"/>
        <v>250</v>
      </c>
      <c r="Q66" s="136">
        <f t="shared" si="8"/>
        <v>250</v>
      </c>
      <c r="R66" s="136">
        <f t="shared" si="9"/>
        <v>250</v>
      </c>
    </row>
    <row r="67" spans="1:18" x14ac:dyDescent="0.25">
      <c r="A67" s="111"/>
      <c r="B67" s="136" t="s">
        <v>763</v>
      </c>
      <c r="C67" s="135">
        <v>6</v>
      </c>
      <c r="D67" s="135" t="s">
        <v>720</v>
      </c>
      <c r="E67" s="135">
        <v>5</v>
      </c>
      <c r="F67" s="135">
        <v>300</v>
      </c>
      <c r="G67" s="135">
        <v>0</v>
      </c>
      <c r="H67" s="135">
        <v>0</v>
      </c>
      <c r="I67" s="135">
        <v>1</v>
      </c>
      <c r="J67" s="135">
        <v>1</v>
      </c>
      <c r="K67" s="136">
        <f t="shared" si="2"/>
        <v>0</v>
      </c>
      <c r="L67" s="136">
        <f t="shared" si="3"/>
        <v>0</v>
      </c>
      <c r="M67" s="136">
        <f t="shared" si="4"/>
        <v>300</v>
      </c>
      <c r="N67" s="136">
        <f t="shared" si="5"/>
        <v>300</v>
      </c>
      <c r="O67" s="136">
        <f t="shared" si="6"/>
        <v>0</v>
      </c>
      <c r="P67" s="136">
        <f t="shared" si="7"/>
        <v>0</v>
      </c>
      <c r="Q67" s="136">
        <f t="shared" si="8"/>
        <v>60</v>
      </c>
      <c r="R67" s="136">
        <f t="shared" si="9"/>
        <v>60</v>
      </c>
    </row>
    <row r="68" spans="1:18" ht="30" x14ac:dyDescent="0.25">
      <c r="A68" s="111"/>
      <c r="B68" s="136" t="s">
        <v>764</v>
      </c>
      <c r="C68" s="135">
        <v>7</v>
      </c>
      <c r="D68" s="135" t="s">
        <v>720</v>
      </c>
      <c r="E68" s="135">
        <v>5</v>
      </c>
      <c r="F68" s="135">
        <v>300</v>
      </c>
      <c r="G68" s="135">
        <v>0</v>
      </c>
      <c r="H68" s="135">
        <v>0</v>
      </c>
      <c r="I68" s="135">
        <v>2</v>
      </c>
      <c r="J68" s="135">
        <v>7</v>
      </c>
      <c r="K68" s="136">
        <f t="shared" si="2"/>
        <v>0</v>
      </c>
      <c r="L68" s="136">
        <f t="shared" si="3"/>
        <v>0</v>
      </c>
      <c r="M68" s="136">
        <f t="shared" si="4"/>
        <v>600</v>
      </c>
      <c r="N68" s="136">
        <f t="shared" si="5"/>
        <v>2100</v>
      </c>
      <c r="O68" s="136">
        <f t="shared" si="6"/>
        <v>0</v>
      </c>
      <c r="P68" s="136">
        <f t="shared" si="7"/>
        <v>0</v>
      </c>
      <c r="Q68" s="136">
        <f t="shared" si="8"/>
        <v>120</v>
      </c>
      <c r="R68" s="136">
        <f t="shared" si="9"/>
        <v>420</v>
      </c>
    </row>
    <row r="69" spans="1:18" x14ac:dyDescent="0.25">
      <c r="A69" s="111"/>
      <c r="B69" s="138" t="s">
        <v>765</v>
      </c>
      <c r="C69" s="139">
        <v>2</v>
      </c>
      <c r="D69" s="139" t="s">
        <v>720</v>
      </c>
      <c r="E69" s="139">
        <v>5</v>
      </c>
      <c r="F69" s="139">
        <v>500</v>
      </c>
      <c r="G69" s="139">
        <v>1</v>
      </c>
      <c r="H69" s="139">
        <v>1</v>
      </c>
      <c r="I69" s="139">
        <v>4</v>
      </c>
      <c r="J69" s="139">
        <v>4</v>
      </c>
      <c r="K69" s="136">
        <f t="shared" si="2"/>
        <v>500</v>
      </c>
      <c r="L69" s="136">
        <f t="shared" si="3"/>
        <v>500</v>
      </c>
      <c r="M69" s="136">
        <f t="shared" si="4"/>
        <v>2000</v>
      </c>
      <c r="N69" s="136">
        <f t="shared" si="5"/>
        <v>2000</v>
      </c>
      <c r="O69" s="136">
        <f t="shared" si="6"/>
        <v>100</v>
      </c>
      <c r="P69" s="136">
        <f t="shared" si="7"/>
        <v>100</v>
      </c>
      <c r="Q69" s="136">
        <f t="shared" si="8"/>
        <v>400</v>
      </c>
      <c r="R69" s="136">
        <f t="shared" si="9"/>
        <v>400</v>
      </c>
    </row>
    <row r="70" spans="1:18" x14ac:dyDescent="0.25">
      <c r="A70" s="111"/>
      <c r="B70" s="136" t="s">
        <v>641</v>
      </c>
      <c r="C70" s="135">
        <v>6</v>
      </c>
      <c r="D70" s="135" t="s">
        <v>720</v>
      </c>
      <c r="E70" s="135">
        <v>5</v>
      </c>
      <c r="F70" s="135">
        <v>1600</v>
      </c>
      <c r="G70" s="135">
        <v>0</v>
      </c>
      <c r="H70" s="135">
        <v>0</v>
      </c>
      <c r="I70" s="135">
        <v>2</v>
      </c>
      <c r="J70" s="135">
        <v>2</v>
      </c>
      <c r="K70" s="136">
        <f t="shared" ref="K70:K133" si="10">IF($F70*G70&gt;0,$F70*G70,0)</f>
        <v>0</v>
      </c>
      <c r="L70" s="136">
        <f t="shared" ref="L70:L133" si="11">IF($F70*H70&gt;0,$F70*H70,0)</f>
        <v>0</v>
      </c>
      <c r="M70" s="136">
        <f t="shared" ref="M70:M133" si="12">IF($F70*I70&gt;0,$F70*I70,0)</f>
        <v>3200</v>
      </c>
      <c r="N70" s="136">
        <f t="shared" ref="N70:N133" si="13">IF($F70*J70&gt;0,$F70*J70,0)</f>
        <v>3200</v>
      </c>
      <c r="O70" s="136">
        <f t="shared" ref="O70:O133" si="14">IF($D70="e",K70/$E70,0)</f>
        <v>0</v>
      </c>
      <c r="P70" s="136">
        <f t="shared" ref="P70:P133" si="15">IF($D70="e",L70/$E70,0)</f>
        <v>0</v>
      </c>
      <c r="Q70" s="136">
        <f t="shared" ref="Q70:Q133" si="16">IF($D70="e",M70/$E70,0)</f>
        <v>640</v>
      </c>
      <c r="R70" s="136">
        <f t="shared" ref="R70:R133" si="17">IF($D70="e",N70/$E70,0)</f>
        <v>640</v>
      </c>
    </row>
    <row r="71" spans="1:18" x14ac:dyDescent="0.25">
      <c r="A71" s="111"/>
      <c r="B71" s="138" t="s">
        <v>607</v>
      </c>
      <c r="C71" s="139">
        <v>2</v>
      </c>
      <c r="D71" s="139" t="s">
        <v>720</v>
      </c>
      <c r="E71" s="139">
        <v>5</v>
      </c>
      <c r="F71" s="139">
        <v>100</v>
      </c>
      <c r="G71" s="139">
        <v>1</v>
      </c>
      <c r="H71" s="139">
        <v>1</v>
      </c>
      <c r="I71" s="139">
        <v>6</v>
      </c>
      <c r="J71" s="139">
        <v>6</v>
      </c>
      <c r="K71" s="136">
        <f t="shared" si="10"/>
        <v>100</v>
      </c>
      <c r="L71" s="136">
        <f t="shared" si="11"/>
        <v>100</v>
      </c>
      <c r="M71" s="136">
        <f t="shared" si="12"/>
        <v>600</v>
      </c>
      <c r="N71" s="136">
        <f t="shared" si="13"/>
        <v>600</v>
      </c>
      <c r="O71" s="136">
        <f t="shared" si="14"/>
        <v>20</v>
      </c>
      <c r="P71" s="136">
        <f t="shared" si="15"/>
        <v>20</v>
      </c>
      <c r="Q71" s="136">
        <f t="shared" si="16"/>
        <v>120</v>
      </c>
      <c r="R71" s="136">
        <f t="shared" si="17"/>
        <v>120</v>
      </c>
    </row>
    <row r="72" spans="1:18" x14ac:dyDescent="0.25">
      <c r="A72" s="111"/>
      <c r="B72" s="138" t="s">
        <v>606</v>
      </c>
      <c r="C72" s="139">
        <v>2</v>
      </c>
      <c r="D72" s="139" t="s">
        <v>720</v>
      </c>
      <c r="E72" s="139">
        <v>5</v>
      </c>
      <c r="F72" s="139">
        <v>400</v>
      </c>
      <c r="G72" s="139">
        <v>1</v>
      </c>
      <c r="H72" s="139">
        <v>1</v>
      </c>
      <c r="I72" s="139">
        <v>6</v>
      </c>
      <c r="J72" s="139">
        <v>6</v>
      </c>
      <c r="K72" s="136">
        <f t="shared" si="10"/>
        <v>400</v>
      </c>
      <c r="L72" s="136">
        <f t="shared" si="11"/>
        <v>400</v>
      </c>
      <c r="M72" s="136">
        <f t="shared" si="12"/>
        <v>2400</v>
      </c>
      <c r="N72" s="136">
        <f t="shared" si="13"/>
        <v>2400</v>
      </c>
      <c r="O72" s="136">
        <f t="shared" si="14"/>
        <v>80</v>
      </c>
      <c r="P72" s="136">
        <f t="shared" si="15"/>
        <v>80</v>
      </c>
      <c r="Q72" s="136">
        <f t="shared" si="16"/>
        <v>480</v>
      </c>
      <c r="R72" s="136">
        <f t="shared" si="17"/>
        <v>480</v>
      </c>
    </row>
    <row r="73" spans="1:18" x14ac:dyDescent="0.25">
      <c r="A73" s="111"/>
      <c r="B73" s="138" t="s">
        <v>599</v>
      </c>
      <c r="C73" s="139">
        <v>2</v>
      </c>
      <c r="D73" s="139" t="s">
        <v>720</v>
      </c>
      <c r="E73" s="139">
        <v>7</v>
      </c>
      <c r="F73" s="139">
        <v>2500</v>
      </c>
      <c r="G73" s="139">
        <v>1</v>
      </c>
      <c r="H73" s="139">
        <v>1</v>
      </c>
      <c r="I73" s="139">
        <v>2</v>
      </c>
      <c r="J73" s="139">
        <v>2</v>
      </c>
      <c r="K73" s="136">
        <f t="shared" si="10"/>
        <v>2500</v>
      </c>
      <c r="L73" s="136">
        <f t="shared" si="11"/>
        <v>2500</v>
      </c>
      <c r="M73" s="136">
        <f t="shared" si="12"/>
        <v>5000</v>
      </c>
      <c r="N73" s="136">
        <f t="shared" si="13"/>
        <v>5000</v>
      </c>
      <c r="O73" s="136">
        <f t="shared" si="14"/>
        <v>357.14285714285717</v>
      </c>
      <c r="P73" s="136">
        <f t="shared" si="15"/>
        <v>357.14285714285717</v>
      </c>
      <c r="Q73" s="136">
        <f t="shared" si="16"/>
        <v>714.28571428571433</v>
      </c>
      <c r="R73" s="136">
        <f t="shared" si="17"/>
        <v>714.28571428571433</v>
      </c>
    </row>
    <row r="74" spans="1:18" x14ac:dyDescent="0.25">
      <c r="A74" s="111"/>
      <c r="B74" s="136" t="s">
        <v>766</v>
      </c>
      <c r="C74" s="135">
        <v>5</v>
      </c>
      <c r="D74" s="135" t="s">
        <v>720</v>
      </c>
      <c r="E74" s="135">
        <v>5</v>
      </c>
      <c r="F74" s="135">
        <v>300</v>
      </c>
      <c r="G74" s="135">
        <v>2</v>
      </c>
      <c r="H74" s="135">
        <v>2</v>
      </c>
      <c r="I74" s="135">
        <v>5</v>
      </c>
      <c r="J74" s="135">
        <v>5</v>
      </c>
      <c r="K74" s="136">
        <f t="shared" si="10"/>
        <v>600</v>
      </c>
      <c r="L74" s="136">
        <f t="shared" si="11"/>
        <v>600</v>
      </c>
      <c r="M74" s="136">
        <f t="shared" si="12"/>
        <v>1500</v>
      </c>
      <c r="N74" s="136">
        <f t="shared" si="13"/>
        <v>1500</v>
      </c>
      <c r="O74" s="136">
        <f t="shared" si="14"/>
        <v>120</v>
      </c>
      <c r="P74" s="136">
        <f t="shared" si="15"/>
        <v>120</v>
      </c>
      <c r="Q74" s="136">
        <f t="shared" si="16"/>
        <v>300</v>
      </c>
      <c r="R74" s="136">
        <f t="shared" si="17"/>
        <v>300</v>
      </c>
    </row>
    <row r="75" spans="1:18" x14ac:dyDescent="0.25">
      <c r="A75" s="111"/>
      <c r="B75" s="136" t="s">
        <v>767</v>
      </c>
      <c r="C75" s="135">
        <v>10</v>
      </c>
      <c r="D75" s="135" t="s">
        <v>718</v>
      </c>
      <c r="E75" s="135"/>
      <c r="F75" s="135">
        <v>50</v>
      </c>
      <c r="G75" s="135">
        <v>1</v>
      </c>
      <c r="H75" s="135">
        <v>1</v>
      </c>
      <c r="I75" s="135">
        <v>2</v>
      </c>
      <c r="J75" s="135">
        <v>2</v>
      </c>
      <c r="K75" s="136">
        <f t="shared" si="10"/>
        <v>50</v>
      </c>
      <c r="L75" s="136">
        <f t="shared" si="11"/>
        <v>50</v>
      </c>
      <c r="M75" s="136">
        <f t="shared" si="12"/>
        <v>100</v>
      </c>
      <c r="N75" s="136">
        <f t="shared" si="13"/>
        <v>100</v>
      </c>
      <c r="O75" s="136">
        <f t="shared" si="14"/>
        <v>0</v>
      </c>
      <c r="P75" s="136">
        <f t="shared" si="15"/>
        <v>0</v>
      </c>
      <c r="Q75" s="136">
        <f t="shared" si="16"/>
        <v>0</v>
      </c>
      <c r="R75" s="136">
        <f t="shared" si="17"/>
        <v>0</v>
      </c>
    </row>
    <row r="76" spans="1:18" x14ac:dyDescent="0.25">
      <c r="A76" s="111"/>
      <c r="B76" s="136" t="s">
        <v>768</v>
      </c>
      <c r="C76" s="135">
        <v>10</v>
      </c>
      <c r="D76" s="135" t="s">
        <v>718</v>
      </c>
      <c r="E76" s="135"/>
      <c r="F76" s="135">
        <v>500</v>
      </c>
      <c r="G76" s="135">
        <v>1</v>
      </c>
      <c r="H76" s="135">
        <v>1</v>
      </c>
      <c r="I76" s="135">
        <v>2</v>
      </c>
      <c r="J76" s="135">
        <v>2</v>
      </c>
      <c r="K76" s="136">
        <f t="shared" si="10"/>
        <v>500</v>
      </c>
      <c r="L76" s="136">
        <f t="shared" si="11"/>
        <v>500</v>
      </c>
      <c r="M76" s="136">
        <f t="shared" si="12"/>
        <v>1000</v>
      </c>
      <c r="N76" s="136">
        <f t="shared" si="13"/>
        <v>1000</v>
      </c>
      <c r="O76" s="136">
        <f t="shared" si="14"/>
        <v>0</v>
      </c>
      <c r="P76" s="136">
        <f t="shared" si="15"/>
        <v>0</v>
      </c>
      <c r="Q76" s="136">
        <f t="shared" si="16"/>
        <v>0</v>
      </c>
      <c r="R76" s="136">
        <f t="shared" si="17"/>
        <v>0</v>
      </c>
    </row>
    <row r="77" spans="1:18" x14ac:dyDescent="0.25">
      <c r="A77" s="111"/>
      <c r="B77" s="138" t="s">
        <v>600</v>
      </c>
      <c r="C77" s="139">
        <v>2</v>
      </c>
      <c r="D77" s="139" t="s">
        <v>720</v>
      </c>
      <c r="E77" s="139">
        <v>10</v>
      </c>
      <c r="F77" s="139">
        <v>100000</v>
      </c>
      <c r="G77" s="139">
        <v>2</v>
      </c>
      <c r="H77" s="139">
        <v>2</v>
      </c>
      <c r="I77" s="139">
        <v>3</v>
      </c>
      <c r="J77" s="139">
        <v>3</v>
      </c>
      <c r="K77" s="136">
        <f t="shared" si="10"/>
        <v>200000</v>
      </c>
      <c r="L77" s="136">
        <f t="shared" si="11"/>
        <v>200000</v>
      </c>
      <c r="M77" s="136">
        <f t="shared" si="12"/>
        <v>300000</v>
      </c>
      <c r="N77" s="136">
        <f t="shared" si="13"/>
        <v>300000</v>
      </c>
      <c r="O77" s="136">
        <f t="shared" si="14"/>
        <v>20000</v>
      </c>
      <c r="P77" s="136">
        <f t="shared" si="15"/>
        <v>20000</v>
      </c>
      <c r="Q77" s="136">
        <f t="shared" si="16"/>
        <v>30000</v>
      </c>
      <c r="R77" s="136">
        <f t="shared" si="17"/>
        <v>30000</v>
      </c>
    </row>
    <row r="78" spans="1:18" x14ac:dyDescent="0.25">
      <c r="A78" s="111"/>
      <c r="B78" s="136" t="s">
        <v>769</v>
      </c>
      <c r="C78" s="135">
        <v>5</v>
      </c>
      <c r="D78" s="135" t="s">
        <v>718</v>
      </c>
      <c r="E78" s="135"/>
      <c r="F78" s="135">
        <v>10000</v>
      </c>
      <c r="G78" s="135">
        <v>2</v>
      </c>
      <c r="H78" s="135">
        <v>2</v>
      </c>
      <c r="I78" s="135">
        <v>2</v>
      </c>
      <c r="J78" s="135">
        <v>2</v>
      </c>
      <c r="K78" s="136">
        <f t="shared" si="10"/>
        <v>20000</v>
      </c>
      <c r="L78" s="136">
        <f t="shared" si="11"/>
        <v>20000</v>
      </c>
      <c r="M78" s="136">
        <f t="shared" si="12"/>
        <v>20000</v>
      </c>
      <c r="N78" s="136">
        <f t="shared" si="13"/>
        <v>20000</v>
      </c>
      <c r="O78" s="136">
        <f t="shared" si="14"/>
        <v>0</v>
      </c>
      <c r="P78" s="136">
        <f t="shared" si="15"/>
        <v>0</v>
      </c>
      <c r="Q78" s="136">
        <f t="shared" si="16"/>
        <v>0</v>
      </c>
      <c r="R78" s="136">
        <f t="shared" si="17"/>
        <v>0</v>
      </c>
    </row>
    <row r="79" spans="1:18" x14ac:dyDescent="0.25">
      <c r="A79" s="111"/>
      <c r="B79" s="138" t="s">
        <v>598</v>
      </c>
      <c r="C79" s="139">
        <v>2</v>
      </c>
      <c r="D79" s="139" t="s">
        <v>718</v>
      </c>
      <c r="E79" s="139"/>
      <c r="F79" s="139">
        <v>1000</v>
      </c>
      <c r="G79" s="139">
        <v>2</v>
      </c>
      <c r="H79" s="139">
        <v>2</v>
      </c>
      <c r="I79" s="139">
        <v>4</v>
      </c>
      <c r="J79" s="139">
        <v>4</v>
      </c>
      <c r="K79" s="136">
        <f t="shared" si="10"/>
        <v>2000</v>
      </c>
      <c r="L79" s="136">
        <f t="shared" si="11"/>
        <v>2000</v>
      </c>
      <c r="M79" s="136">
        <f t="shared" si="12"/>
        <v>4000</v>
      </c>
      <c r="N79" s="136">
        <f t="shared" si="13"/>
        <v>4000</v>
      </c>
      <c r="O79" s="136">
        <f t="shared" si="14"/>
        <v>0</v>
      </c>
      <c r="P79" s="136">
        <f t="shared" si="15"/>
        <v>0</v>
      </c>
      <c r="Q79" s="136">
        <f t="shared" si="16"/>
        <v>0</v>
      </c>
      <c r="R79" s="136">
        <f t="shared" si="17"/>
        <v>0</v>
      </c>
    </row>
    <row r="80" spans="1:18" x14ac:dyDescent="0.25">
      <c r="A80" s="111"/>
      <c r="B80" s="136" t="s">
        <v>770</v>
      </c>
      <c r="C80" s="135">
        <v>5</v>
      </c>
      <c r="D80" s="135" t="s">
        <v>720</v>
      </c>
      <c r="E80" s="135">
        <v>5</v>
      </c>
      <c r="F80" s="135">
        <v>500</v>
      </c>
      <c r="G80" s="135">
        <v>2</v>
      </c>
      <c r="H80" s="135">
        <v>2</v>
      </c>
      <c r="I80" s="135">
        <v>2</v>
      </c>
      <c r="J80" s="135">
        <v>2</v>
      </c>
      <c r="K80" s="136">
        <f t="shared" si="10"/>
        <v>1000</v>
      </c>
      <c r="L80" s="136">
        <f t="shared" si="11"/>
        <v>1000</v>
      </c>
      <c r="M80" s="136">
        <f t="shared" si="12"/>
        <v>1000</v>
      </c>
      <c r="N80" s="136">
        <f t="shared" si="13"/>
        <v>1000</v>
      </c>
      <c r="O80" s="136">
        <f t="shared" si="14"/>
        <v>200</v>
      </c>
      <c r="P80" s="136">
        <f t="shared" si="15"/>
        <v>200</v>
      </c>
      <c r="Q80" s="136">
        <f t="shared" si="16"/>
        <v>200</v>
      </c>
      <c r="R80" s="136">
        <f t="shared" si="17"/>
        <v>200</v>
      </c>
    </row>
    <row r="81" spans="1:18" x14ac:dyDescent="0.25">
      <c r="A81" s="111"/>
      <c r="B81" s="136" t="s">
        <v>621</v>
      </c>
      <c r="C81" s="135">
        <v>3</v>
      </c>
      <c r="D81" s="135" t="s">
        <v>718</v>
      </c>
      <c r="E81" s="135"/>
      <c r="F81" s="135">
        <v>4000</v>
      </c>
      <c r="G81" s="135">
        <v>0</v>
      </c>
      <c r="H81" s="135">
        <v>0</v>
      </c>
      <c r="I81" s="135">
        <v>20</v>
      </c>
      <c r="J81" s="135">
        <v>20</v>
      </c>
      <c r="K81" s="136">
        <f t="shared" si="10"/>
        <v>0</v>
      </c>
      <c r="L81" s="136">
        <f t="shared" si="11"/>
        <v>0</v>
      </c>
      <c r="M81" s="136">
        <f t="shared" si="12"/>
        <v>80000</v>
      </c>
      <c r="N81" s="136">
        <f t="shared" si="13"/>
        <v>80000</v>
      </c>
      <c r="O81" s="136">
        <f t="shared" si="14"/>
        <v>0</v>
      </c>
      <c r="P81" s="136">
        <f t="shared" si="15"/>
        <v>0</v>
      </c>
      <c r="Q81" s="136">
        <f t="shared" si="16"/>
        <v>0</v>
      </c>
      <c r="R81" s="136">
        <f t="shared" si="17"/>
        <v>0</v>
      </c>
    </row>
    <row r="82" spans="1:18" x14ac:dyDescent="0.25">
      <c r="A82" s="111"/>
      <c r="B82" s="136" t="s">
        <v>771</v>
      </c>
      <c r="C82" s="135">
        <v>3</v>
      </c>
      <c r="D82" s="135" t="s">
        <v>718</v>
      </c>
      <c r="E82" s="135"/>
      <c r="F82" s="135">
        <v>400</v>
      </c>
      <c r="G82" s="135">
        <v>4</v>
      </c>
      <c r="H82" s="135">
        <v>4</v>
      </c>
      <c r="I82" s="135">
        <v>26</v>
      </c>
      <c r="J82" s="135">
        <v>26</v>
      </c>
      <c r="K82" s="136">
        <f t="shared" si="10"/>
        <v>1600</v>
      </c>
      <c r="L82" s="136">
        <f t="shared" si="11"/>
        <v>1600</v>
      </c>
      <c r="M82" s="136">
        <f t="shared" si="12"/>
        <v>10400</v>
      </c>
      <c r="N82" s="136">
        <f t="shared" si="13"/>
        <v>10400</v>
      </c>
      <c r="O82" s="136">
        <f t="shared" si="14"/>
        <v>0</v>
      </c>
      <c r="P82" s="136">
        <f t="shared" si="15"/>
        <v>0</v>
      </c>
      <c r="Q82" s="136">
        <f t="shared" si="16"/>
        <v>0</v>
      </c>
      <c r="R82" s="136">
        <f t="shared" si="17"/>
        <v>0</v>
      </c>
    </row>
    <row r="83" spans="1:18" x14ac:dyDescent="0.25">
      <c r="A83" s="111"/>
      <c r="B83" s="136" t="s">
        <v>772</v>
      </c>
      <c r="C83" s="135">
        <v>3</v>
      </c>
      <c r="D83" s="135" t="s">
        <v>720</v>
      </c>
      <c r="E83" s="135">
        <v>5</v>
      </c>
      <c r="F83" s="135">
        <v>3500</v>
      </c>
      <c r="G83" s="135">
        <v>0</v>
      </c>
      <c r="H83" s="135">
        <v>0</v>
      </c>
      <c r="I83" s="135">
        <v>10</v>
      </c>
      <c r="J83" s="135">
        <v>10</v>
      </c>
      <c r="K83" s="136">
        <f t="shared" si="10"/>
        <v>0</v>
      </c>
      <c r="L83" s="136">
        <f t="shared" si="11"/>
        <v>0</v>
      </c>
      <c r="M83" s="136">
        <f t="shared" si="12"/>
        <v>35000</v>
      </c>
      <c r="N83" s="136">
        <f t="shared" si="13"/>
        <v>35000</v>
      </c>
      <c r="O83" s="136">
        <f t="shared" si="14"/>
        <v>0</v>
      </c>
      <c r="P83" s="136">
        <f t="shared" si="15"/>
        <v>0</v>
      </c>
      <c r="Q83" s="136">
        <f t="shared" si="16"/>
        <v>7000</v>
      </c>
      <c r="R83" s="136">
        <f t="shared" si="17"/>
        <v>7000</v>
      </c>
    </row>
    <row r="84" spans="1:18" ht="15" customHeight="1" x14ac:dyDescent="0.25">
      <c r="A84" s="111"/>
      <c r="B84" s="136" t="s">
        <v>773</v>
      </c>
      <c r="C84" s="135">
        <v>10</v>
      </c>
      <c r="D84" s="135" t="s">
        <v>720</v>
      </c>
      <c r="E84" s="135">
        <v>5</v>
      </c>
      <c r="F84" s="135">
        <v>11</v>
      </c>
      <c r="G84" s="135">
        <v>1</v>
      </c>
      <c r="H84" s="135">
        <v>1</v>
      </c>
      <c r="I84" s="135">
        <v>1</v>
      </c>
      <c r="J84" s="135">
        <v>1</v>
      </c>
      <c r="K84" s="136">
        <f t="shared" si="10"/>
        <v>11</v>
      </c>
      <c r="L84" s="136">
        <f t="shared" si="11"/>
        <v>11</v>
      </c>
      <c r="M84" s="136">
        <f t="shared" si="12"/>
        <v>11</v>
      </c>
      <c r="N84" s="136">
        <f t="shared" si="13"/>
        <v>11</v>
      </c>
      <c r="O84" s="136">
        <f t="shared" si="14"/>
        <v>2.2000000000000002</v>
      </c>
      <c r="P84" s="136">
        <f t="shared" si="15"/>
        <v>2.2000000000000002</v>
      </c>
      <c r="Q84" s="136">
        <f t="shared" si="16"/>
        <v>2.2000000000000002</v>
      </c>
      <c r="R84" s="136">
        <f t="shared" si="17"/>
        <v>2.2000000000000002</v>
      </c>
    </row>
    <row r="85" spans="1:18" x14ac:dyDescent="0.25">
      <c r="A85" s="111"/>
      <c r="B85" s="136" t="s">
        <v>654</v>
      </c>
      <c r="C85" s="135">
        <v>14</v>
      </c>
      <c r="D85" s="135" t="s">
        <v>720</v>
      </c>
      <c r="E85" s="135">
        <v>5</v>
      </c>
      <c r="F85" s="135">
        <v>500</v>
      </c>
      <c r="G85" s="135">
        <v>1</v>
      </c>
      <c r="H85" s="135">
        <v>1</v>
      </c>
      <c r="I85" s="135">
        <v>1</v>
      </c>
      <c r="J85" s="135">
        <v>1</v>
      </c>
      <c r="K85" s="136">
        <f t="shared" si="10"/>
        <v>500</v>
      </c>
      <c r="L85" s="136">
        <f t="shared" si="11"/>
        <v>500</v>
      </c>
      <c r="M85" s="136">
        <f t="shared" si="12"/>
        <v>500</v>
      </c>
      <c r="N85" s="136">
        <f t="shared" si="13"/>
        <v>500</v>
      </c>
      <c r="O85" s="136">
        <f t="shared" si="14"/>
        <v>100</v>
      </c>
      <c r="P85" s="136">
        <f t="shared" si="15"/>
        <v>100</v>
      </c>
      <c r="Q85" s="136">
        <f t="shared" si="16"/>
        <v>100</v>
      </c>
      <c r="R85" s="136">
        <f t="shared" si="17"/>
        <v>100</v>
      </c>
    </row>
    <row r="86" spans="1:18" x14ac:dyDescent="0.25">
      <c r="A86" s="111"/>
      <c r="B86" s="136" t="s">
        <v>774</v>
      </c>
      <c r="C86" s="135">
        <v>10</v>
      </c>
      <c r="D86" s="135" t="s">
        <v>718</v>
      </c>
      <c r="E86" s="135"/>
      <c r="F86" s="135">
        <v>100</v>
      </c>
      <c r="G86" s="135">
        <v>6</v>
      </c>
      <c r="H86" s="135">
        <v>6</v>
      </c>
      <c r="I86" s="135">
        <v>12</v>
      </c>
      <c r="J86" s="135">
        <v>12</v>
      </c>
      <c r="K86" s="136">
        <f t="shared" si="10"/>
        <v>600</v>
      </c>
      <c r="L86" s="136">
        <f t="shared" si="11"/>
        <v>600</v>
      </c>
      <c r="M86" s="136">
        <f t="shared" si="12"/>
        <v>1200</v>
      </c>
      <c r="N86" s="136">
        <f t="shared" si="13"/>
        <v>1200</v>
      </c>
      <c r="O86" s="136">
        <f t="shared" si="14"/>
        <v>0</v>
      </c>
      <c r="P86" s="136">
        <f t="shared" si="15"/>
        <v>0</v>
      </c>
      <c r="Q86" s="136">
        <f t="shared" si="16"/>
        <v>0</v>
      </c>
      <c r="R86" s="136">
        <f t="shared" si="17"/>
        <v>0</v>
      </c>
    </row>
    <row r="87" spans="1:18" x14ac:dyDescent="0.25">
      <c r="A87" s="111"/>
      <c r="B87" s="136" t="s">
        <v>775</v>
      </c>
      <c r="C87" s="135">
        <v>10</v>
      </c>
      <c r="D87" s="135" t="s">
        <v>718</v>
      </c>
      <c r="E87" s="135"/>
      <c r="F87" s="135">
        <v>50</v>
      </c>
      <c r="G87" s="135">
        <v>2</v>
      </c>
      <c r="H87" s="135">
        <v>2</v>
      </c>
      <c r="I87" s="135">
        <v>4</v>
      </c>
      <c r="J87" s="135">
        <v>4</v>
      </c>
      <c r="K87" s="136">
        <f t="shared" si="10"/>
        <v>100</v>
      </c>
      <c r="L87" s="136">
        <f t="shared" si="11"/>
        <v>100</v>
      </c>
      <c r="M87" s="136">
        <f t="shared" si="12"/>
        <v>200</v>
      </c>
      <c r="N87" s="136">
        <f t="shared" si="13"/>
        <v>200</v>
      </c>
      <c r="O87" s="136">
        <f t="shared" si="14"/>
        <v>0</v>
      </c>
      <c r="P87" s="136">
        <f t="shared" si="15"/>
        <v>0</v>
      </c>
      <c r="Q87" s="136">
        <f t="shared" si="16"/>
        <v>0</v>
      </c>
      <c r="R87" s="136">
        <f t="shared" si="17"/>
        <v>0</v>
      </c>
    </row>
    <row r="88" spans="1:18" x14ac:dyDescent="0.25">
      <c r="A88" s="111"/>
      <c r="B88" s="136" t="s">
        <v>633</v>
      </c>
      <c r="C88" s="135">
        <v>10</v>
      </c>
      <c r="D88" s="135" t="s">
        <v>720</v>
      </c>
      <c r="E88" s="135">
        <v>5</v>
      </c>
      <c r="F88" s="135">
        <v>4000</v>
      </c>
      <c r="G88" s="135">
        <v>1</v>
      </c>
      <c r="H88" s="135">
        <v>1</v>
      </c>
      <c r="I88" s="135">
        <v>1</v>
      </c>
      <c r="J88" s="135">
        <v>1</v>
      </c>
      <c r="K88" s="136">
        <f t="shared" si="10"/>
        <v>4000</v>
      </c>
      <c r="L88" s="136">
        <f t="shared" si="11"/>
        <v>4000</v>
      </c>
      <c r="M88" s="136">
        <f t="shared" si="12"/>
        <v>4000</v>
      </c>
      <c r="N88" s="136">
        <f t="shared" si="13"/>
        <v>4000</v>
      </c>
      <c r="O88" s="136">
        <f t="shared" si="14"/>
        <v>800</v>
      </c>
      <c r="P88" s="136">
        <f t="shared" si="15"/>
        <v>800</v>
      </c>
      <c r="Q88" s="136">
        <f t="shared" si="16"/>
        <v>800</v>
      </c>
      <c r="R88" s="136">
        <f t="shared" si="17"/>
        <v>800</v>
      </c>
    </row>
    <row r="89" spans="1:18" ht="30" x14ac:dyDescent="0.25">
      <c r="A89" s="111"/>
      <c r="B89" s="136" t="s">
        <v>776</v>
      </c>
      <c r="C89" s="135">
        <v>1</v>
      </c>
      <c r="D89" s="135" t="s">
        <v>718</v>
      </c>
      <c r="E89" s="135"/>
      <c r="F89" s="135">
        <v>100</v>
      </c>
      <c r="G89" s="135">
        <v>4</v>
      </c>
      <c r="H89" s="135">
        <v>4</v>
      </c>
      <c r="I89" s="135">
        <v>12</v>
      </c>
      <c r="J89" s="135">
        <v>12</v>
      </c>
      <c r="K89" s="136">
        <f t="shared" si="10"/>
        <v>400</v>
      </c>
      <c r="L89" s="136">
        <f t="shared" si="11"/>
        <v>400</v>
      </c>
      <c r="M89" s="136">
        <f t="shared" si="12"/>
        <v>1200</v>
      </c>
      <c r="N89" s="136">
        <f t="shared" si="13"/>
        <v>1200</v>
      </c>
      <c r="O89" s="136">
        <f t="shared" si="14"/>
        <v>0</v>
      </c>
      <c r="P89" s="136">
        <f t="shared" si="15"/>
        <v>0</v>
      </c>
      <c r="Q89" s="136">
        <f t="shared" si="16"/>
        <v>0</v>
      </c>
      <c r="R89" s="136">
        <f t="shared" si="17"/>
        <v>0</v>
      </c>
    </row>
    <row r="90" spans="1:18" x14ac:dyDescent="0.25">
      <c r="A90" s="111"/>
      <c r="B90" s="136" t="s">
        <v>777</v>
      </c>
      <c r="C90" s="135">
        <v>10</v>
      </c>
      <c r="D90" s="135" t="s">
        <v>720</v>
      </c>
      <c r="E90" s="135">
        <v>10</v>
      </c>
      <c r="F90" s="135">
        <v>4000</v>
      </c>
      <c r="G90" s="135">
        <v>1</v>
      </c>
      <c r="H90" s="135">
        <v>1</v>
      </c>
      <c r="I90" s="135">
        <v>2</v>
      </c>
      <c r="J90" s="135">
        <v>2</v>
      </c>
      <c r="K90" s="136">
        <f t="shared" si="10"/>
        <v>4000</v>
      </c>
      <c r="L90" s="136">
        <f t="shared" si="11"/>
        <v>4000</v>
      </c>
      <c r="M90" s="136">
        <f t="shared" si="12"/>
        <v>8000</v>
      </c>
      <c r="N90" s="136">
        <f t="shared" si="13"/>
        <v>8000</v>
      </c>
      <c r="O90" s="136">
        <f t="shared" si="14"/>
        <v>400</v>
      </c>
      <c r="P90" s="136">
        <f t="shared" si="15"/>
        <v>400</v>
      </c>
      <c r="Q90" s="136">
        <f t="shared" si="16"/>
        <v>800</v>
      </c>
      <c r="R90" s="136">
        <f t="shared" si="17"/>
        <v>800</v>
      </c>
    </row>
    <row r="91" spans="1:18" x14ac:dyDescent="0.25">
      <c r="A91" s="111"/>
      <c r="B91" s="136" t="s">
        <v>778</v>
      </c>
      <c r="C91" s="135">
        <v>10</v>
      </c>
      <c r="D91" s="135" t="s">
        <v>720</v>
      </c>
      <c r="E91" s="135">
        <v>10</v>
      </c>
      <c r="F91" s="135">
        <v>450000</v>
      </c>
      <c r="G91" s="135">
        <v>1</v>
      </c>
      <c r="H91" s="135">
        <v>1</v>
      </c>
      <c r="I91" s="135">
        <v>1</v>
      </c>
      <c r="J91" s="135">
        <v>1</v>
      </c>
      <c r="K91" s="136">
        <f t="shared" si="10"/>
        <v>450000</v>
      </c>
      <c r="L91" s="136">
        <f t="shared" si="11"/>
        <v>450000</v>
      </c>
      <c r="M91" s="136">
        <f t="shared" si="12"/>
        <v>450000</v>
      </c>
      <c r="N91" s="136">
        <f t="shared" si="13"/>
        <v>450000</v>
      </c>
      <c r="O91" s="136">
        <f t="shared" si="14"/>
        <v>45000</v>
      </c>
      <c r="P91" s="136">
        <f t="shared" si="15"/>
        <v>45000</v>
      </c>
      <c r="Q91" s="136">
        <f t="shared" si="16"/>
        <v>45000</v>
      </c>
      <c r="R91" s="136">
        <f t="shared" si="17"/>
        <v>45000</v>
      </c>
    </row>
    <row r="92" spans="1:18" x14ac:dyDescent="0.25">
      <c r="A92" s="111"/>
      <c r="B92" s="136" t="s">
        <v>643</v>
      </c>
      <c r="C92" s="135">
        <v>6</v>
      </c>
      <c r="D92" s="135" t="s">
        <v>718</v>
      </c>
      <c r="E92" s="135"/>
      <c r="F92" s="135">
        <v>200</v>
      </c>
      <c r="G92" s="135">
        <v>0</v>
      </c>
      <c r="H92" s="135">
        <v>0</v>
      </c>
      <c r="I92" s="135">
        <v>10</v>
      </c>
      <c r="J92" s="135">
        <v>12</v>
      </c>
      <c r="K92" s="136">
        <f t="shared" si="10"/>
        <v>0</v>
      </c>
      <c r="L92" s="136">
        <f t="shared" si="11"/>
        <v>0</v>
      </c>
      <c r="M92" s="136">
        <f t="shared" si="12"/>
        <v>2000</v>
      </c>
      <c r="N92" s="136">
        <f t="shared" si="13"/>
        <v>2400</v>
      </c>
      <c r="O92" s="136">
        <f t="shared" si="14"/>
        <v>0</v>
      </c>
      <c r="P92" s="136">
        <f t="shared" si="15"/>
        <v>0</v>
      </c>
      <c r="Q92" s="136">
        <f t="shared" si="16"/>
        <v>0</v>
      </c>
      <c r="R92" s="136">
        <f t="shared" si="17"/>
        <v>0</v>
      </c>
    </row>
    <row r="93" spans="1:18" x14ac:dyDescent="0.25">
      <c r="A93" s="111"/>
      <c r="B93" s="136" t="s">
        <v>627</v>
      </c>
      <c r="C93" s="135">
        <v>9</v>
      </c>
      <c r="D93" s="135" t="s">
        <v>720</v>
      </c>
      <c r="E93" s="135">
        <v>7</v>
      </c>
      <c r="F93" s="135">
        <v>7000</v>
      </c>
      <c r="G93" s="135">
        <v>1</v>
      </c>
      <c r="H93" s="135">
        <v>1</v>
      </c>
      <c r="I93" s="135">
        <v>1</v>
      </c>
      <c r="J93" s="135">
        <v>1</v>
      </c>
      <c r="K93" s="136">
        <f t="shared" si="10"/>
        <v>7000</v>
      </c>
      <c r="L93" s="136">
        <f t="shared" si="11"/>
        <v>7000</v>
      </c>
      <c r="M93" s="136">
        <f t="shared" si="12"/>
        <v>7000</v>
      </c>
      <c r="N93" s="136">
        <f t="shared" si="13"/>
        <v>7000</v>
      </c>
      <c r="O93" s="136">
        <f t="shared" si="14"/>
        <v>1000</v>
      </c>
      <c r="P93" s="136">
        <f t="shared" si="15"/>
        <v>1000</v>
      </c>
      <c r="Q93" s="136">
        <f t="shared" si="16"/>
        <v>1000</v>
      </c>
      <c r="R93" s="136">
        <f t="shared" si="17"/>
        <v>1000</v>
      </c>
    </row>
    <row r="94" spans="1:18" x14ac:dyDescent="0.25">
      <c r="A94" s="111"/>
      <c r="B94" s="136" t="s">
        <v>628</v>
      </c>
      <c r="C94" s="135">
        <v>9</v>
      </c>
      <c r="D94" s="135" t="s">
        <v>720</v>
      </c>
      <c r="E94" s="135">
        <v>7</v>
      </c>
      <c r="F94" s="135">
        <v>100</v>
      </c>
      <c r="G94" s="135">
        <v>10</v>
      </c>
      <c r="H94" s="135">
        <v>10</v>
      </c>
      <c r="I94" s="135">
        <v>10</v>
      </c>
      <c r="J94" s="135">
        <v>10</v>
      </c>
      <c r="K94" s="136">
        <f t="shared" si="10"/>
        <v>1000</v>
      </c>
      <c r="L94" s="136">
        <f t="shared" si="11"/>
        <v>1000</v>
      </c>
      <c r="M94" s="136">
        <f t="shared" si="12"/>
        <v>1000</v>
      </c>
      <c r="N94" s="136">
        <f t="shared" si="13"/>
        <v>1000</v>
      </c>
      <c r="O94" s="136">
        <f t="shared" si="14"/>
        <v>142.85714285714286</v>
      </c>
      <c r="P94" s="136">
        <f t="shared" si="15"/>
        <v>142.85714285714286</v>
      </c>
      <c r="Q94" s="136">
        <f t="shared" si="16"/>
        <v>142.85714285714286</v>
      </c>
      <c r="R94" s="136">
        <f t="shared" si="17"/>
        <v>142.85714285714286</v>
      </c>
    </row>
    <row r="95" spans="1:18" x14ac:dyDescent="0.25">
      <c r="A95" s="111"/>
      <c r="B95" s="136" t="s">
        <v>645</v>
      </c>
      <c r="C95" s="135">
        <v>11</v>
      </c>
      <c r="D95" s="135" t="s">
        <v>720</v>
      </c>
      <c r="E95" s="135">
        <v>7</v>
      </c>
      <c r="F95" s="135">
        <v>7500</v>
      </c>
      <c r="G95" s="135">
        <v>0</v>
      </c>
      <c r="H95" s="135">
        <v>0</v>
      </c>
      <c r="I95" s="135">
        <v>1</v>
      </c>
      <c r="J95" s="135">
        <v>1</v>
      </c>
      <c r="K95" s="136">
        <f t="shared" si="10"/>
        <v>0</v>
      </c>
      <c r="L95" s="136">
        <f t="shared" si="11"/>
        <v>0</v>
      </c>
      <c r="M95" s="136">
        <f t="shared" si="12"/>
        <v>7500</v>
      </c>
      <c r="N95" s="136">
        <f t="shared" si="13"/>
        <v>7500</v>
      </c>
      <c r="O95" s="136">
        <f t="shared" si="14"/>
        <v>0</v>
      </c>
      <c r="P95" s="136">
        <f t="shared" si="15"/>
        <v>0</v>
      </c>
      <c r="Q95" s="136">
        <f t="shared" si="16"/>
        <v>1071.4285714285713</v>
      </c>
      <c r="R95" s="136">
        <f t="shared" si="17"/>
        <v>1071.4285714285713</v>
      </c>
    </row>
    <row r="96" spans="1:18" x14ac:dyDescent="0.25">
      <c r="A96" s="111"/>
      <c r="B96" s="136" t="s">
        <v>626</v>
      </c>
      <c r="C96" s="135">
        <v>9</v>
      </c>
      <c r="D96" s="135" t="s">
        <v>720</v>
      </c>
      <c r="E96" s="135">
        <v>10</v>
      </c>
      <c r="F96" s="135">
        <v>45000</v>
      </c>
      <c r="G96" s="135">
        <v>1</v>
      </c>
      <c r="H96" s="135">
        <v>1</v>
      </c>
      <c r="I96" s="135">
        <v>1</v>
      </c>
      <c r="J96" s="135">
        <v>1</v>
      </c>
      <c r="K96" s="136">
        <f t="shared" si="10"/>
        <v>45000</v>
      </c>
      <c r="L96" s="136">
        <f t="shared" si="11"/>
        <v>45000</v>
      </c>
      <c r="M96" s="136">
        <f t="shared" si="12"/>
        <v>45000</v>
      </c>
      <c r="N96" s="136">
        <f t="shared" si="13"/>
        <v>45000</v>
      </c>
      <c r="O96" s="136">
        <f t="shared" si="14"/>
        <v>4500</v>
      </c>
      <c r="P96" s="136">
        <f t="shared" si="15"/>
        <v>4500</v>
      </c>
      <c r="Q96" s="136">
        <f t="shared" si="16"/>
        <v>4500</v>
      </c>
      <c r="R96" s="136">
        <f t="shared" si="17"/>
        <v>4500</v>
      </c>
    </row>
    <row r="97" spans="1:18" x14ac:dyDescent="0.25">
      <c r="A97" s="111"/>
      <c r="B97" s="136" t="s">
        <v>779</v>
      </c>
      <c r="C97" s="135">
        <v>5</v>
      </c>
      <c r="D97" s="135" t="s">
        <v>720</v>
      </c>
      <c r="E97" s="135">
        <v>13</v>
      </c>
      <c r="F97" s="135">
        <v>700000</v>
      </c>
      <c r="G97" s="135">
        <v>0</v>
      </c>
      <c r="H97" s="135">
        <v>0</v>
      </c>
      <c r="I97" s="135">
        <v>0</v>
      </c>
      <c r="J97" s="135">
        <v>4</v>
      </c>
      <c r="K97" s="136">
        <f t="shared" si="10"/>
        <v>0</v>
      </c>
      <c r="L97" s="136">
        <f t="shared" si="11"/>
        <v>0</v>
      </c>
      <c r="M97" s="136">
        <f t="shared" si="12"/>
        <v>0</v>
      </c>
      <c r="N97" s="136">
        <f t="shared" si="13"/>
        <v>2800000</v>
      </c>
      <c r="O97" s="136">
        <f t="shared" si="14"/>
        <v>0</v>
      </c>
      <c r="P97" s="136">
        <f t="shared" si="15"/>
        <v>0</v>
      </c>
      <c r="Q97" s="136">
        <f t="shared" si="16"/>
        <v>0</v>
      </c>
      <c r="R97" s="136">
        <f t="shared" si="17"/>
        <v>215384.61538461538</v>
      </c>
    </row>
    <row r="98" spans="1:18" x14ac:dyDescent="0.25">
      <c r="A98" s="111"/>
      <c r="B98" s="136" t="s">
        <v>780</v>
      </c>
      <c r="C98" s="135">
        <v>5</v>
      </c>
      <c r="D98" s="135" t="s">
        <v>720</v>
      </c>
      <c r="E98" s="135">
        <v>8</v>
      </c>
      <c r="F98" s="135">
        <v>2500</v>
      </c>
      <c r="G98" s="135">
        <v>0</v>
      </c>
      <c r="H98" s="135">
        <v>0</v>
      </c>
      <c r="I98" s="135">
        <v>2</v>
      </c>
      <c r="J98" s="135">
        <v>4</v>
      </c>
      <c r="K98" s="136">
        <f t="shared" si="10"/>
        <v>0</v>
      </c>
      <c r="L98" s="136">
        <f t="shared" si="11"/>
        <v>0</v>
      </c>
      <c r="M98" s="136">
        <f t="shared" si="12"/>
        <v>5000</v>
      </c>
      <c r="N98" s="136">
        <f t="shared" si="13"/>
        <v>10000</v>
      </c>
      <c r="O98" s="136">
        <f t="shared" si="14"/>
        <v>0</v>
      </c>
      <c r="P98" s="136">
        <f t="shared" si="15"/>
        <v>0</v>
      </c>
      <c r="Q98" s="136">
        <f t="shared" si="16"/>
        <v>625</v>
      </c>
      <c r="R98" s="136">
        <f t="shared" si="17"/>
        <v>1250</v>
      </c>
    </row>
    <row r="99" spans="1:18" x14ac:dyDescent="0.25">
      <c r="A99" s="111"/>
      <c r="B99" s="136" t="s">
        <v>781</v>
      </c>
      <c r="C99" s="135">
        <v>5</v>
      </c>
      <c r="D99" s="135" t="s">
        <v>718</v>
      </c>
      <c r="E99" s="135"/>
      <c r="F99" s="135">
        <v>1000</v>
      </c>
      <c r="G99" s="135">
        <v>0</v>
      </c>
      <c r="H99" s="135">
        <v>0</v>
      </c>
      <c r="I99" s="135">
        <v>0</v>
      </c>
      <c r="J99" s="135">
        <v>2</v>
      </c>
      <c r="K99" s="136">
        <f t="shared" si="10"/>
        <v>0</v>
      </c>
      <c r="L99" s="136">
        <f t="shared" si="11"/>
        <v>0</v>
      </c>
      <c r="M99" s="136">
        <f t="shared" si="12"/>
        <v>0</v>
      </c>
      <c r="N99" s="136">
        <f t="shared" si="13"/>
        <v>2000</v>
      </c>
      <c r="O99" s="136">
        <f t="shared" si="14"/>
        <v>0</v>
      </c>
      <c r="P99" s="136">
        <f t="shared" si="15"/>
        <v>0</v>
      </c>
      <c r="Q99" s="136">
        <f t="shared" si="16"/>
        <v>0</v>
      </c>
      <c r="R99" s="136">
        <f t="shared" si="17"/>
        <v>0</v>
      </c>
    </row>
    <row r="100" spans="1:18" x14ac:dyDescent="0.25">
      <c r="A100" s="111"/>
      <c r="B100" s="136" t="s">
        <v>782</v>
      </c>
      <c r="C100" s="135">
        <v>5</v>
      </c>
      <c r="D100" s="135" t="s">
        <v>720</v>
      </c>
      <c r="E100" s="135">
        <v>8</v>
      </c>
      <c r="F100" s="135">
        <v>3000</v>
      </c>
      <c r="G100" s="135">
        <v>0</v>
      </c>
      <c r="H100" s="135">
        <v>0</v>
      </c>
      <c r="I100" s="135">
        <v>0</v>
      </c>
      <c r="J100" s="135">
        <v>1</v>
      </c>
      <c r="K100" s="136">
        <f t="shared" si="10"/>
        <v>0</v>
      </c>
      <c r="L100" s="136">
        <f t="shared" si="11"/>
        <v>0</v>
      </c>
      <c r="M100" s="136">
        <f t="shared" si="12"/>
        <v>0</v>
      </c>
      <c r="N100" s="136">
        <f t="shared" si="13"/>
        <v>3000</v>
      </c>
      <c r="O100" s="136">
        <f t="shared" si="14"/>
        <v>0</v>
      </c>
      <c r="P100" s="136">
        <f t="shared" si="15"/>
        <v>0</v>
      </c>
      <c r="Q100" s="136">
        <f t="shared" si="16"/>
        <v>0</v>
      </c>
      <c r="R100" s="136">
        <f t="shared" si="17"/>
        <v>375</v>
      </c>
    </row>
    <row r="101" spans="1:18" x14ac:dyDescent="0.25">
      <c r="A101" s="111"/>
      <c r="B101" s="136" t="s">
        <v>783</v>
      </c>
      <c r="C101" s="135">
        <v>6</v>
      </c>
      <c r="D101" s="135" t="s">
        <v>720</v>
      </c>
      <c r="E101" s="135">
        <v>7</v>
      </c>
      <c r="F101" s="135">
        <v>10000</v>
      </c>
      <c r="G101" s="135">
        <v>0</v>
      </c>
      <c r="H101" s="135">
        <v>0</v>
      </c>
      <c r="I101" s="135">
        <v>2</v>
      </c>
      <c r="J101" s="135">
        <v>2</v>
      </c>
      <c r="K101" s="136">
        <f t="shared" si="10"/>
        <v>0</v>
      </c>
      <c r="L101" s="136">
        <f t="shared" si="11"/>
        <v>0</v>
      </c>
      <c r="M101" s="136">
        <f t="shared" si="12"/>
        <v>20000</v>
      </c>
      <c r="N101" s="136">
        <f t="shared" si="13"/>
        <v>20000</v>
      </c>
      <c r="O101" s="136">
        <f t="shared" si="14"/>
        <v>0</v>
      </c>
      <c r="P101" s="136">
        <f t="shared" si="15"/>
        <v>0</v>
      </c>
      <c r="Q101" s="136">
        <f t="shared" si="16"/>
        <v>2857.1428571428573</v>
      </c>
      <c r="R101" s="136">
        <f t="shared" si="17"/>
        <v>2857.1428571428573</v>
      </c>
    </row>
    <row r="102" spans="1:18" x14ac:dyDescent="0.25">
      <c r="A102" s="111"/>
      <c r="B102" s="136" t="s">
        <v>784</v>
      </c>
      <c r="C102" s="135">
        <v>6</v>
      </c>
      <c r="D102" s="135" t="s">
        <v>720</v>
      </c>
      <c r="E102" s="135">
        <v>7</v>
      </c>
      <c r="F102" s="135">
        <v>4000</v>
      </c>
      <c r="G102" s="135">
        <v>0</v>
      </c>
      <c r="H102" s="135">
        <v>0</v>
      </c>
      <c r="I102" s="135">
        <v>1</v>
      </c>
      <c r="J102" s="135">
        <v>2</v>
      </c>
      <c r="K102" s="136">
        <f t="shared" si="10"/>
        <v>0</v>
      </c>
      <c r="L102" s="136">
        <f t="shared" si="11"/>
        <v>0</v>
      </c>
      <c r="M102" s="136">
        <f t="shared" si="12"/>
        <v>4000</v>
      </c>
      <c r="N102" s="136">
        <f t="shared" si="13"/>
        <v>8000</v>
      </c>
      <c r="O102" s="136">
        <f t="shared" si="14"/>
        <v>0</v>
      </c>
      <c r="P102" s="136">
        <f t="shared" si="15"/>
        <v>0</v>
      </c>
      <c r="Q102" s="136">
        <f t="shared" si="16"/>
        <v>571.42857142857144</v>
      </c>
      <c r="R102" s="136">
        <f t="shared" si="17"/>
        <v>1142.8571428571429</v>
      </c>
    </row>
    <row r="103" spans="1:18" x14ac:dyDescent="0.25">
      <c r="A103" s="111"/>
      <c r="B103" s="136" t="s">
        <v>637</v>
      </c>
      <c r="C103" s="135">
        <v>12</v>
      </c>
      <c r="D103" s="135" t="s">
        <v>720</v>
      </c>
      <c r="E103" s="135">
        <v>10</v>
      </c>
      <c r="F103" s="135">
        <v>25000</v>
      </c>
      <c r="G103" s="135">
        <v>0</v>
      </c>
      <c r="H103" s="135">
        <v>0</v>
      </c>
      <c r="I103" s="135">
        <v>1</v>
      </c>
      <c r="J103" s="135">
        <v>1</v>
      </c>
      <c r="K103" s="136">
        <f t="shared" si="10"/>
        <v>0</v>
      </c>
      <c r="L103" s="136">
        <f t="shared" si="11"/>
        <v>0</v>
      </c>
      <c r="M103" s="136">
        <f t="shared" si="12"/>
        <v>25000</v>
      </c>
      <c r="N103" s="136">
        <f t="shared" si="13"/>
        <v>25000</v>
      </c>
      <c r="O103" s="136">
        <f t="shared" si="14"/>
        <v>0</v>
      </c>
      <c r="P103" s="136">
        <f t="shared" si="15"/>
        <v>0</v>
      </c>
      <c r="Q103" s="136">
        <f t="shared" si="16"/>
        <v>2500</v>
      </c>
      <c r="R103" s="136">
        <f t="shared" si="17"/>
        <v>2500</v>
      </c>
    </row>
    <row r="104" spans="1:18" x14ac:dyDescent="0.25">
      <c r="A104" s="111"/>
      <c r="B104" s="136" t="s">
        <v>840</v>
      </c>
      <c r="C104" s="135">
        <v>5</v>
      </c>
      <c r="D104" s="135" t="s">
        <v>720</v>
      </c>
      <c r="E104" s="135">
        <v>7</v>
      </c>
      <c r="F104" s="135">
        <v>1500</v>
      </c>
      <c r="G104" s="135">
        <v>1</v>
      </c>
      <c r="H104" s="135">
        <v>1</v>
      </c>
      <c r="I104" s="135">
        <v>1</v>
      </c>
      <c r="J104" s="135">
        <v>1</v>
      </c>
      <c r="K104" s="136">
        <f t="shared" si="10"/>
        <v>1500</v>
      </c>
      <c r="L104" s="136">
        <f t="shared" si="11"/>
        <v>1500</v>
      </c>
      <c r="M104" s="136">
        <f t="shared" si="12"/>
        <v>1500</v>
      </c>
      <c r="N104" s="136">
        <f t="shared" si="13"/>
        <v>1500</v>
      </c>
      <c r="O104" s="136">
        <f t="shared" si="14"/>
        <v>214.28571428571428</v>
      </c>
      <c r="P104" s="136">
        <f t="shared" si="15"/>
        <v>214.28571428571428</v>
      </c>
      <c r="Q104" s="136">
        <f t="shared" si="16"/>
        <v>214.28571428571428</v>
      </c>
      <c r="R104" s="136">
        <f t="shared" si="17"/>
        <v>214.28571428571428</v>
      </c>
    </row>
    <row r="105" spans="1:18" x14ac:dyDescent="0.25">
      <c r="A105" s="111"/>
      <c r="B105" s="138" t="s">
        <v>785</v>
      </c>
      <c r="C105" s="139">
        <v>2</v>
      </c>
      <c r="D105" s="139" t="s">
        <v>720</v>
      </c>
      <c r="E105" s="139">
        <v>5</v>
      </c>
      <c r="F105" s="139">
        <v>450</v>
      </c>
      <c r="G105" s="139">
        <v>2</v>
      </c>
      <c r="H105" s="139">
        <v>2</v>
      </c>
      <c r="I105" s="139">
        <v>18</v>
      </c>
      <c r="J105" s="139">
        <v>22</v>
      </c>
      <c r="K105" s="136">
        <f t="shared" si="10"/>
        <v>900</v>
      </c>
      <c r="L105" s="136">
        <f t="shared" si="11"/>
        <v>900</v>
      </c>
      <c r="M105" s="136">
        <f t="shared" si="12"/>
        <v>8100</v>
      </c>
      <c r="N105" s="136">
        <f t="shared" si="13"/>
        <v>9900</v>
      </c>
      <c r="O105" s="136">
        <f t="shared" si="14"/>
        <v>180</v>
      </c>
      <c r="P105" s="136">
        <f t="shared" si="15"/>
        <v>180</v>
      </c>
      <c r="Q105" s="136">
        <f t="shared" si="16"/>
        <v>1620</v>
      </c>
      <c r="R105" s="136">
        <f t="shared" si="17"/>
        <v>1980</v>
      </c>
    </row>
    <row r="106" spans="1:18" x14ac:dyDescent="0.25">
      <c r="A106" s="111"/>
      <c r="B106" s="138" t="s">
        <v>608</v>
      </c>
      <c r="C106" s="139">
        <v>2</v>
      </c>
      <c r="D106" s="139" t="s">
        <v>720</v>
      </c>
      <c r="E106" s="139">
        <v>5</v>
      </c>
      <c r="F106" s="139">
        <v>200</v>
      </c>
      <c r="G106" s="139">
        <v>2</v>
      </c>
      <c r="H106" s="139">
        <v>2</v>
      </c>
      <c r="I106" s="139">
        <v>8</v>
      </c>
      <c r="J106" s="139">
        <v>8</v>
      </c>
      <c r="K106" s="136">
        <f t="shared" si="10"/>
        <v>400</v>
      </c>
      <c r="L106" s="136">
        <f t="shared" si="11"/>
        <v>400</v>
      </c>
      <c r="M106" s="136">
        <f t="shared" si="12"/>
        <v>1600</v>
      </c>
      <c r="N106" s="136">
        <f t="shared" si="13"/>
        <v>1600</v>
      </c>
      <c r="O106" s="136">
        <f t="shared" si="14"/>
        <v>80</v>
      </c>
      <c r="P106" s="136">
        <f t="shared" si="15"/>
        <v>80</v>
      </c>
      <c r="Q106" s="136">
        <f t="shared" si="16"/>
        <v>320</v>
      </c>
      <c r="R106" s="136">
        <f t="shared" si="17"/>
        <v>320</v>
      </c>
    </row>
    <row r="107" spans="1:18" ht="30" x14ac:dyDescent="0.25">
      <c r="A107" s="111"/>
      <c r="B107" s="136" t="s">
        <v>786</v>
      </c>
      <c r="C107" s="135">
        <v>5</v>
      </c>
      <c r="D107" s="135" t="s">
        <v>720</v>
      </c>
      <c r="E107" s="135">
        <v>10</v>
      </c>
      <c r="F107" s="135">
        <v>10000</v>
      </c>
      <c r="G107" s="135">
        <v>1</v>
      </c>
      <c r="H107" s="135">
        <v>1</v>
      </c>
      <c r="I107" s="135">
        <v>1</v>
      </c>
      <c r="J107" s="135">
        <v>1</v>
      </c>
      <c r="K107" s="136">
        <f t="shared" si="10"/>
        <v>10000</v>
      </c>
      <c r="L107" s="136">
        <f t="shared" si="11"/>
        <v>10000</v>
      </c>
      <c r="M107" s="136">
        <f t="shared" si="12"/>
        <v>10000</v>
      </c>
      <c r="N107" s="136">
        <f t="shared" si="13"/>
        <v>10000</v>
      </c>
      <c r="O107" s="136">
        <f t="shared" si="14"/>
        <v>1000</v>
      </c>
      <c r="P107" s="136">
        <f t="shared" si="15"/>
        <v>1000</v>
      </c>
      <c r="Q107" s="136">
        <f t="shared" si="16"/>
        <v>1000</v>
      </c>
      <c r="R107" s="136">
        <f t="shared" si="17"/>
        <v>1000</v>
      </c>
    </row>
    <row r="108" spans="1:18" x14ac:dyDescent="0.25">
      <c r="A108" s="111"/>
      <c r="B108" s="136" t="s">
        <v>787</v>
      </c>
      <c r="C108" s="135">
        <v>5</v>
      </c>
      <c r="D108" s="135" t="s">
        <v>720</v>
      </c>
      <c r="E108" s="135">
        <v>10</v>
      </c>
      <c r="F108" s="135">
        <v>30000</v>
      </c>
      <c r="G108" s="135">
        <v>0</v>
      </c>
      <c r="H108" s="135">
        <v>0</v>
      </c>
      <c r="I108" s="135">
        <v>2</v>
      </c>
      <c r="J108" s="135">
        <v>2</v>
      </c>
      <c r="K108" s="136">
        <f t="shared" si="10"/>
        <v>0</v>
      </c>
      <c r="L108" s="136">
        <f t="shared" si="11"/>
        <v>0</v>
      </c>
      <c r="M108" s="136">
        <f t="shared" si="12"/>
        <v>60000</v>
      </c>
      <c r="N108" s="136">
        <f t="shared" si="13"/>
        <v>60000</v>
      </c>
      <c r="O108" s="136">
        <f t="shared" si="14"/>
        <v>0</v>
      </c>
      <c r="P108" s="136">
        <f t="shared" si="15"/>
        <v>0</v>
      </c>
      <c r="Q108" s="136">
        <f t="shared" si="16"/>
        <v>6000</v>
      </c>
      <c r="R108" s="136">
        <f t="shared" si="17"/>
        <v>6000</v>
      </c>
    </row>
    <row r="109" spans="1:18" ht="29.25" customHeight="1" x14ac:dyDescent="0.25">
      <c r="A109" s="111"/>
      <c r="B109" s="136" t="s">
        <v>788</v>
      </c>
      <c r="C109" s="135">
        <v>1</v>
      </c>
      <c r="D109" s="135" t="s">
        <v>718</v>
      </c>
      <c r="E109" s="135"/>
      <c r="F109" s="135">
        <v>500</v>
      </c>
      <c r="G109" s="135">
        <v>10</v>
      </c>
      <c r="H109" s="135">
        <v>10</v>
      </c>
      <c r="I109" s="135">
        <v>25</v>
      </c>
      <c r="J109" s="135">
        <v>25</v>
      </c>
      <c r="K109" s="136">
        <f t="shared" si="10"/>
        <v>5000</v>
      </c>
      <c r="L109" s="136">
        <f t="shared" si="11"/>
        <v>5000</v>
      </c>
      <c r="M109" s="136">
        <f t="shared" si="12"/>
        <v>12500</v>
      </c>
      <c r="N109" s="136">
        <f t="shared" si="13"/>
        <v>12500</v>
      </c>
      <c r="O109" s="136">
        <f t="shared" si="14"/>
        <v>0</v>
      </c>
      <c r="P109" s="136">
        <f t="shared" si="15"/>
        <v>0</v>
      </c>
      <c r="Q109" s="136">
        <f t="shared" si="16"/>
        <v>0</v>
      </c>
      <c r="R109" s="136">
        <f t="shared" si="17"/>
        <v>0</v>
      </c>
    </row>
    <row r="110" spans="1:18" x14ac:dyDescent="0.25">
      <c r="A110" s="111"/>
      <c r="B110" s="136" t="s">
        <v>789</v>
      </c>
      <c r="C110" s="135">
        <v>5</v>
      </c>
      <c r="D110" s="135" t="s">
        <v>718</v>
      </c>
      <c r="E110" s="135"/>
      <c r="F110" s="135">
        <v>3000</v>
      </c>
      <c r="G110" s="135">
        <v>1</v>
      </c>
      <c r="H110" s="135">
        <v>1</v>
      </c>
      <c r="I110" s="135">
        <v>2</v>
      </c>
      <c r="J110" s="135">
        <v>2</v>
      </c>
      <c r="K110" s="136">
        <f t="shared" si="10"/>
        <v>3000</v>
      </c>
      <c r="L110" s="136">
        <f t="shared" si="11"/>
        <v>3000</v>
      </c>
      <c r="M110" s="136">
        <f t="shared" si="12"/>
        <v>6000</v>
      </c>
      <c r="N110" s="136">
        <f t="shared" si="13"/>
        <v>6000</v>
      </c>
      <c r="O110" s="136">
        <f t="shared" si="14"/>
        <v>0</v>
      </c>
      <c r="P110" s="136">
        <f t="shared" si="15"/>
        <v>0</v>
      </c>
      <c r="Q110" s="136">
        <f t="shared" si="16"/>
        <v>0</v>
      </c>
      <c r="R110" s="136">
        <f t="shared" si="17"/>
        <v>0</v>
      </c>
    </row>
    <row r="111" spans="1:18" x14ac:dyDescent="0.25">
      <c r="A111" s="111"/>
      <c r="B111" s="138" t="s">
        <v>790</v>
      </c>
      <c r="C111" s="139">
        <v>2</v>
      </c>
      <c r="D111" s="139" t="s">
        <v>718</v>
      </c>
      <c r="E111" s="139"/>
      <c r="F111" s="139">
        <v>500</v>
      </c>
      <c r="G111" s="139">
        <v>10</v>
      </c>
      <c r="H111" s="139">
        <v>10</v>
      </c>
      <c r="I111" s="139">
        <v>40</v>
      </c>
      <c r="J111" s="139">
        <v>40</v>
      </c>
      <c r="K111" s="136">
        <f t="shared" si="10"/>
        <v>5000</v>
      </c>
      <c r="L111" s="136">
        <f t="shared" si="11"/>
        <v>5000</v>
      </c>
      <c r="M111" s="136">
        <f t="shared" si="12"/>
        <v>20000</v>
      </c>
      <c r="N111" s="136">
        <f t="shared" si="13"/>
        <v>20000</v>
      </c>
      <c r="O111" s="136">
        <f t="shared" si="14"/>
        <v>0</v>
      </c>
      <c r="P111" s="136">
        <f t="shared" si="15"/>
        <v>0</v>
      </c>
      <c r="Q111" s="136">
        <f t="shared" si="16"/>
        <v>0</v>
      </c>
      <c r="R111" s="136">
        <f t="shared" si="17"/>
        <v>0</v>
      </c>
    </row>
    <row r="112" spans="1:18" x14ac:dyDescent="0.25">
      <c r="A112" s="111"/>
      <c r="B112" s="136" t="s">
        <v>642</v>
      </c>
      <c r="C112" s="135">
        <v>6</v>
      </c>
      <c r="D112" s="135" t="s">
        <v>718</v>
      </c>
      <c r="E112" s="135"/>
      <c r="F112" s="135">
        <v>300</v>
      </c>
      <c r="G112" s="135">
        <v>0</v>
      </c>
      <c r="H112" s="135">
        <v>0</v>
      </c>
      <c r="I112" s="135">
        <v>2</v>
      </c>
      <c r="J112" s="135">
        <v>6</v>
      </c>
      <c r="K112" s="136">
        <f t="shared" si="10"/>
        <v>0</v>
      </c>
      <c r="L112" s="136">
        <f t="shared" si="11"/>
        <v>0</v>
      </c>
      <c r="M112" s="136">
        <f t="shared" si="12"/>
        <v>600</v>
      </c>
      <c r="N112" s="136">
        <f t="shared" si="13"/>
        <v>1800</v>
      </c>
      <c r="O112" s="136">
        <f t="shared" si="14"/>
        <v>0</v>
      </c>
      <c r="P112" s="136">
        <f t="shared" si="15"/>
        <v>0</v>
      </c>
      <c r="Q112" s="136">
        <f t="shared" si="16"/>
        <v>0</v>
      </c>
      <c r="R112" s="136">
        <f t="shared" si="17"/>
        <v>0</v>
      </c>
    </row>
    <row r="113" spans="1:18" x14ac:dyDescent="0.25">
      <c r="A113" s="111"/>
      <c r="B113" s="136" t="s">
        <v>791</v>
      </c>
      <c r="C113" s="135">
        <v>8</v>
      </c>
      <c r="D113" s="135" t="s">
        <v>718</v>
      </c>
      <c r="E113" s="135"/>
      <c r="F113" s="135">
        <v>200</v>
      </c>
      <c r="G113" s="135">
        <v>0</v>
      </c>
      <c r="H113" s="135">
        <v>0</v>
      </c>
      <c r="I113" s="135">
        <v>0</v>
      </c>
      <c r="J113" s="135">
        <v>1</v>
      </c>
      <c r="K113" s="136">
        <f t="shared" si="10"/>
        <v>0</v>
      </c>
      <c r="L113" s="136">
        <f t="shared" si="11"/>
        <v>0</v>
      </c>
      <c r="M113" s="136">
        <f t="shared" si="12"/>
        <v>0</v>
      </c>
      <c r="N113" s="136">
        <f t="shared" si="13"/>
        <v>200</v>
      </c>
      <c r="O113" s="136">
        <f t="shared" si="14"/>
        <v>0</v>
      </c>
      <c r="P113" s="136">
        <f t="shared" si="15"/>
        <v>0</v>
      </c>
      <c r="Q113" s="136">
        <f t="shared" si="16"/>
        <v>0</v>
      </c>
      <c r="R113" s="136">
        <f t="shared" si="17"/>
        <v>0</v>
      </c>
    </row>
    <row r="114" spans="1:18" x14ac:dyDescent="0.25">
      <c r="A114" s="111"/>
      <c r="B114" s="136" t="s">
        <v>792</v>
      </c>
      <c r="C114" s="135">
        <v>7</v>
      </c>
      <c r="D114" s="135" t="s">
        <v>720</v>
      </c>
      <c r="E114" s="135">
        <v>5</v>
      </c>
      <c r="F114" s="135">
        <v>200</v>
      </c>
      <c r="G114" s="135">
        <v>0</v>
      </c>
      <c r="H114" s="135">
        <v>0</v>
      </c>
      <c r="I114" s="135">
        <v>0</v>
      </c>
      <c r="J114" s="135">
        <v>2</v>
      </c>
      <c r="K114" s="136">
        <f t="shared" si="10"/>
        <v>0</v>
      </c>
      <c r="L114" s="136">
        <f t="shared" si="11"/>
        <v>0</v>
      </c>
      <c r="M114" s="136">
        <f t="shared" si="12"/>
        <v>0</v>
      </c>
      <c r="N114" s="136">
        <f t="shared" si="13"/>
        <v>400</v>
      </c>
      <c r="O114" s="136">
        <f t="shared" si="14"/>
        <v>0</v>
      </c>
      <c r="P114" s="136">
        <f t="shared" si="15"/>
        <v>0</v>
      </c>
      <c r="Q114" s="136">
        <f t="shared" si="16"/>
        <v>0</v>
      </c>
      <c r="R114" s="136">
        <f t="shared" si="17"/>
        <v>80</v>
      </c>
    </row>
    <row r="115" spans="1:18" x14ac:dyDescent="0.25">
      <c r="A115" s="111"/>
      <c r="B115" s="138" t="s">
        <v>793</v>
      </c>
      <c r="C115" s="139">
        <v>2</v>
      </c>
      <c r="D115" s="139" t="s">
        <v>720</v>
      </c>
      <c r="E115" s="139">
        <v>5</v>
      </c>
      <c r="F115" s="139">
        <v>5000</v>
      </c>
      <c r="G115" s="139">
        <v>2</v>
      </c>
      <c r="H115" s="139">
        <v>2</v>
      </c>
      <c r="I115" s="139">
        <v>3</v>
      </c>
      <c r="J115" s="139">
        <v>10</v>
      </c>
      <c r="K115" s="136">
        <f t="shared" si="10"/>
        <v>10000</v>
      </c>
      <c r="L115" s="136">
        <f t="shared" si="11"/>
        <v>10000</v>
      </c>
      <c r="M115" s="136">
        <f t="shared" si="12"/>
        <v>15000</v>
      </c>
      <c r="N115" s="136">
        <f t="shared" si="13"/>
        <v>50000</v>
      </c>
      <c r="O115" s="136">
        <f t="shared" si="14"/>
        <v>2000</v>
      </c>
      <c r="P115" s="136">
        <f t="shared" si="15"/>
        <v>2000</v>
      </c>
      <c r="Q115" s="136">
        <f t="shared" si="16"/>
        <v>3000</v>
      </c>
      <c r="R115" s="136">
        <f t="shared" si="17"/>
        <v>10000</v>
      </c>
    </row>
    <row r="116" spans="1:18" x14ac:dyDescent="0.25">
      <c r="A116" s="111"/>
      <c r="B116" s="136" t="s">
        <v>794</v>
      </c>
      <c r="C116" s="135">
        <v>5</v>
      </c>
      <c r="D116" s="135" t="s">
        <v>720</v>
      </c>
      <c r="E116" s="135">
        <v>5</v>
      </c>
      <c r="F116" s="135">
        <v>100</v>
      </c>
      <c r="G116" s="135">
        <v>4</v>
      </c>
      <c r="H116" s="135">
        <v>4</v>
      </c>
      <c r="I116" s="135">
        <v>25</v>
      </c>
      <c r="J116" s="135">
        <v>30</v>
      </c>
      <c r="K116" s="136">
        <f t="shared" si="10"/>
        <v>400</v>
      </c>
      <c r="L116" s="136">
        <f t="shared" si="11"/>
        <v>400</v>
      </c>
      <c r="M116" s="136">
        <f t="shared" si="12"/>
        <v>2500</v>
      </c>
      <c r="N116" s="136">
        <f t="shared" si="13"/>
        <v>3000</v>
      </c>
      <c r="O116" s="136">
        <f t="shared" si="14"/>
        <v>80</v>
      </c>
      <c r="P116" s="136">
        <f t="shared" si="15"/>
        <v>80</v>
      </c>
      <c r="Q116" s="136">
        <f t="shared" si="16"/>
        <v>500</v>
      </c>
      <c r="R116" s="136">
        <f t="shared" si="17"/>
        <v>600</v>
      </c>
    </row>
    <row r="117" spans="1:18" x14ac:dyDescent="0.25">
      <c r="A117" s="111"/>
      <c r="B117" s="136" t="s">
        <v>624</v>
      </c>
      <c r="C117" s="135">
        <v>5</v>
      </c>
      <c r="D117" s="135" t="s">
        <v>720</v>
      </c>
      <c r="E117" s="135">
        <v>7</v>
      </c>
      <c r="F117" s="135">
        <v>10000</v>
      </c>
      <c r="G117" s="135">
        <v>2</v>
      </c>
      <c r="H117" s="135">
        <v>2</v>
      </c>
      <c r="I117" s="135">
        <v>4</v>
      </c>
      <c r="J117" s="135">
        <v>4</v>
      </c>
      <c r="K117" s="136">
        <f t="shared" si="10"/>
        <v>20000</v>
      </c>
      <c r="L117" s="136">
        <f t="shared" si="11"/>
        <v>20000</v>
      </c>
      <c r="M117" s="136">
        <f t="shared" si="12"/>
        <v>40000</v>
      </c>
      <c r="N117" s="136">
        <f t="shared" si="13"/>
        <v>40000</v>
      </c>
      <c r="O117" s="136">
        <f t="shared" si="14"/>
        <v>2857.1428571428573</v>
      </c>
      <c r="P117" s="136">
        <f t="shared" si="15"/>
        <v>2857.1428571428573</v>
      </c>
      <c r="Q117" s="136">
        <f t="shared" si="16"/>
        <v>5714.2857142857147</v>
      </c>
      <c r="R117" s="136">
        <f t="shared" si="17"/>
        <v>5714.2857142857147</v>
      </c>
    </row>
    <row r="118" spans="1:18" x14ac:dyDescent="0.25">
      <c r="A118" s="111"/>
      <c r="B118" s="136" t="s">
        <v>795</v>
      </c>
      <c r="C118" s="135">
        <v>6</v>
      </c>
      <c r="D118" s="135" t="s">
        <v>720</v>
      </c>
      <c r="E118" s="135">
        <v>5</v>
      </c>
      <c r="F118" s="135">
        <v>250</v>
      </c>
      <c r="G118" s="135">
        <v>0</v>
      </c>
      <c r="H118" s="135">
        <v>0</v>
      </c>
      <c r="I118" s="135">
        <v>2</v>
      </c>
      <c r="J118" s="135">
        <v>2</v>
      </c>
      <c r="K118" s="136">
        <f t="shared" si="10"/>
        <v>0</v>
      </c>
      <c r="L118" s="136">
        <f t="shared" si="11"/>
        <v>0</v>
      </c>
      <c r="M118" s="136">
        <f t="shared" si="12"/>
        <v>500</v>
      </c>
      <c r="N118" s="136">
        <f t="shared" si="13"/>
        <v>500</v>
      </c>
      <c r="O118" s="136">
        <f t="shared" si="14"/>
        <v>0</v>
      </c>
      <c r="P118" s="136">
        <f t="shared" si="15"/>
        <v>0</v>
      </c>
      <c r="Q118" s="136">
        <f t="shared" si="16"/>
        <v>100</v>
      </c>
      <c r="R118" s="136">
        <f t="shared" si="17"/>
        <v>100</v>
      </c>
    </row>
    <row r="119" spans="1:18" x14ac:dyDescent="0.25">
      <c r="A119" s="111"/>
      <c r="B119" s="136" t="s">
        <v>649</v>
      </c>
      <c r="C119" s="135">
        <v>13</v>
      </c>
      <c r="D119" s="135" t="s">
        <v>720</v>
      </c>
      <c r="E119" s="135">
        <v>8</v>
      </c>
      <c r="F119" s="135">
        <v>3000</v>
      </c>
      <c r="G119" s="135">
        <v>4</v>
      </c>
      <c r="H119" s="135">
        <v>4</v>
      </c>
      <c r="I119" s="135">
        <v>7</v>
      </c>
      <c r="J119" s="135">
        <v>7</v>
      </c>
      <c r="K119" s="136">
        <f t="shared" si="10"/>
        <v>12000</v>
      </c>
      <c r="L119" s="136">
        <f t="shared" si="11"/>
        <v>12000</v>
      </c>
      <c r="M119" s="136">
        <f t="shared" si="12"/>
        <v>21000</v>
      </c>
      <c r="N119" s="136">
        <f t="shared" si="13"/>
        <v>21000</v>
      </c>
      <c r="O119" s="136">
        <f t="shared" si="14"/>
        <v>1500</v>
      </c>
      <c r="P119" s="136">
        <f t="shared" si="15"/>
        <v>1500</v>
      </c>
      <c r="Q119" s="136">
        <f t="shared" si="16"/>
        <v>2625</v>
      </c>
      <c r="R119" s="136">
        <f t="shared" si="17"/>
        <v>2625</v>
      </c>
    </row>
    <row r="120" spans="1:18" x14ac:dyDescent="0.25">
      <c r="A120" s="111"/>
      <c r="B120" s="136" t="s">
        <v>650</v>
      </c>
      <c r="C120" s="135">
        <v>13</v>
      </c>
      <c r="D120" s="135" t="s">
        <v>720</v>
      </c>
      <c r="E120" s="135">
        <v>8</v>
      </c>
      <c r="F120" s="135">
        <v>1500</v>
      </c>
      <c r="G120" s="135">
        <v>4</v>
      </c>
      <c r="H120" s="135">
        <v>4</v>
      </c>
      <c r="I120" s="135">
        <v>7</v>
      </c>
      <c r="J120" s="135">
        <v>7</v>
      </c>
      <c r="K120" s="136">
        <f t="shared" si="10"/>
        <v>6000</v>
      </c>
      <c r="L120" s="136">
        <f t="shared" si="11"/>
        <v>6000</v>
      </c>
      <c r="M120" s="136">
        <f t="shared" si="12"/>
        <v>10500</v>
      </c>
      <c r="N120" s="136">
        <f t="shared" si="13"/>
        <v>10500</v>
      </c>
      <c r="O120" s="136">
        <f t="shared" si="14"/>
        <v>750</v>
      </c>
      <c r="P120" s="136">
        <f t="shared" si="15"/>
        <v>750</v>
      </c>
      <c r="Q120" s="136">
        <f t="shared" si="16"/>
        <v>1312.5</v>
      </c>
      <c r="R120" s="136">
        <f t="shared" si="17"/>
        <v>1312.5</v>
      </c>
    </row>
    <row r="121" spans="1:18" x14ac:dyDescent="0.25">
      <c r="A121" s="111"/>
      <c r="B121" s="136" t="s">
        <v>648</v>
      </c>
      <c r="C121" s="135">
        <v>13</v>
      </c>
      <c r="D121" s="135" t="s">
        <v>720</v>
      </c>
      <c r="E121" s="135">
        <v>8</v>
      </c>
      <c r="F121" s="135">
        <v>2000</v>
      </c>
      <c r="G121" s="135">
        <v>4</v>
      </c>
      <c r="H121" s="135">
        <v>4</v>
      </c>
      <c r="I121" s="135">
        <v>7</v>
      </c>
      <c r="J121" s="135">
        <v>7</v>
      </c>
      <c r="K121" s="136">
        <f t="shared" si="10"/>
        <v>8000</v>
      </c>
      <c r="L121" s="136">
        <f t="shared" si="11"/>
        <v>8000</v>
      </c>
      <c r="M121" s="136">
        <f t="shared" si="12"/>
        <v>14000</v>
      </c>
      <c r="N121" s="136">
        <f t="shared" si="13"/>
        <v>14000</v>
      </c>
      <c r="O121" s="136">
        <f t="shared" si="14"/>
        <v>1000</v>
      </c>
      <c r="P121" s="136">
        <f t="shared" si="15"/>
        <v>1000</v>
      </c>
      <c r="Q121" s="136">
        <f t="shared" si="16"/>
        <v>1750</v>
      </c>
      <c r="R121" s="136">
        <f t="shared" si="17"/>
        <v>1750</v>
      </c>
    </row>
    <row r="122" spans="1:18" x14ac:dyDescent="0.25">
      <c r="A122" s="111"/>
      <c r="B122" s="136" t="s">
        <v>796</v>
      </c>
      <c r="C122" s="135">
        <v>6</v>
      </c>
      <c r="D122" s="135" t="s">
        <v>720</v>
      </c>
      <c r="E122" s="135">
        <v>10</v>
      </c>
      <c r="F122" s="135">
        <v>200000</v>
      </c>
      <c r="G122" s="135">
        <v>0</v>
      </c>
      <c r="H122" s="135">
        <v>0</v>
      </c>
      <c r="I122" s="135">
        <v>1</v>
      </c>
      <c r="J122" s="135">
        <v>1</v>
      </c>
      <c r="K122" s="136">
        <f t="shared" si="10"/>
        <v>0</v>
      </c>
      <c r="L122" s="136">
        <f t="shared" si="11"/>
        <v>0</v>
      </c>
      <c r="M122" s="136">
        <f t="shared" si="12"/>
        <v>200000</v>
      </c>
      <c r="N122" s="136">
        <f t="shared" si="13"/>
        <v>200000</v>
      </c>
      <c r="O122" s="136">
        <f t="shared" si="14"/>
        <v>0</v>
      </c>
      <c r="P122" s="136">
        <f t="shared" si="15"/>
        <v>0</v>
      </c>
      <c r="Q122" s="136">
        <f t="shared" si="16"/>
        <v>20000</v>
      </c>
      <c r="R122" s="136">
        <f t="shared" si="17"/>
        <v>20000</v>
      </c>
    </row>
    <row r="123" spans="1:18" x14ac:dyDescent="0.25">
      <c r="A123" s="111"/>
      <c r="B123" s="138" t="s">
        <v>602</v>
      </c>
      <c r="C123" s="139">
        <v>2</v>
      </c>
      <c r="D123" s="139" t="s">
        <v>718</v>
      </c>
      <c r="E123" s="139"/>
      <c r="F123" s="139">
        <v>200</v>
      </c>
      <c r="G123" s="139">
        <v>2</v>
      </c>
      <c r="H123" s="139">
        <v>2</v>
      </c>
      <c r="I123" s="139">
        <v>4</v>
      </c>
      <c r="J123" s="139">
        <v>4</v>
      </c>
      <c r="K123" s="136">
        <f t="shared" si="10"/>
        <v>400</v>
      </c>
      <c r="L123" s="136">
        <f t="shared" si="11"/>
        <v>400</v>
      </c>
      <c r="M123" s="136">
        <f t="shared" si="12"/>
        <v>800</v>
      </c>
      <c r="N123" s="136">
        <f t="shared" si="13"/>
        <v>800</v>
      </c>
      <c r="O123" s="136">
        <f t="shared" si="14"/>
        <v>0</v>
      </c>
      <c r="P123" s="136">
        <f t="shared" si="15"/>
        <v>0</v>
      </c>
      <c r="Q123" s="136">
        <f t="shared" si="16"/>
        <v>0</v>
      </c>
      <c r="R123" s="136">
        <f t="shared" si="17"/>
        <v>0</v>
      </c>
    </row>
    <row r="124" spans="1:18" x14ac:dyDescent="0.25">
      <c r="A124" s="111"/>
      <c r="B124" s="136" t="s">
        <v>797</v>
      </c>
      <c r="C124" s="135">
        <v>6</v>
      </c>
      <c r="D124" s="135" t="s">
        <v>720</v>
      </c>
      <c r="E124" s="135">
        <v>5</v>
      </c>
      <c r="F124" s="135">
        <v>20000</v>
      </c>
      <c r="G124" s="135">
        <v>1</v>
      </c>
      <c r="H124" s="135">
        <v>1</v>
      </c>
      <c r="I124" s="135">
        <v>4</v>
      </c>
      <c r="J124" s="135">
        <v>4</v>
      </c>
      <c r="K124" s="136">
        <f t="shared" si="10"/>
        <v>20000</v>
      </c>
      <c r="L124" s="136">
        <f t="shared" si="11"/>
        <v>20000</v>
      </c>
      <c r="M124" s="136">
        <f t="shared" si="12"/>
        <v>80000</v>
      </c>
      <c r="N124" s="136">
        <f t="shared" si="13"/>
        <v>80000</v>
      </c>
      <c r="O124" s="136">
        <f t="shared" si="14"/>
        <v>4000</v>
      </c>
      <c r="P124" s="136">
        <f t="shared" si="15"/>
        <v>4000</v>
      </c>
      <c r="Q124" s="136">
        <f t="shared" si="16"/>
        <v>16000</v>
      </c>
      <c r="R124" s="136">
        <f t="shared" si="17"/>
        <v>16000</v>
      </c>
    </row>
    <row r="125" spans="1:18" x14ac:dyDescent="0.25">
      <c r="A125" s="111"/>
      <c r="B125" s="136" t="s">
        <v>798</v>
      </c>
      <c r="C125" s="135">
        <v>5</v>
      </c>
      <c r="D125" s="135" t="s">
        <v>720</v>
      </c>
      <c r="E125" s="135">
        <v>13</v>
      </c>
      <c r="F125" s="135">
        <v>1800000</v>
      </c>
      <c r="G125" s="135">
        <v>0</v>
      </c>
      <c r="H125" s="135">
        <v>0</v>
      </c>
      <c r="I125" s="135">
        <v>0</v>
      </c>
      <c r="J125" s="135">
        <v>1</v>
      </c>
      <c r="K125" s="136">
        <f t="shared" si="10"/>
        <v>0</v>
      </c>
      <c r="L125" s="136">
        <f t="shared" si="11"/>
        <v>0</v>
      </c>
      <c r="M125" s="136">
        <f t="shared" si="12"/>
        <v>0</v>
      </c>
      <c r="N125" s="136">
        <f t="shared" si="13"/>
        <v>1800000</v>
      </c>
      <c r="O125" s="136">
        <f t="shared" si="14"/>
        <v>0</v>
      </c>
      <c r="P125" s="136">
        <f t="shared" si="15"/>
        <v>0</v>
      </c>
      <c r="Q125" s="136">
        <f t="shared" si="16"/>
        <v>0</v>
      </c>
      <c r="R125" s="136">
        <f t="shared" si="17"/>
        <v>138461.53846153847</v>
      </c>
    </row>
    <row r="126" spans="1:18" x14ac:dyDescent="0.25">
      <c r="A126" s="111"/>
      <c r="B126" s="138" t="s">
        <v>605</v>
      </c>
      <c r="C126" s="139">
        <v>2</v>
      </c>
      <c r="D126" s="139" t="s">
        <v>720</v>
      </c>
      <c r="E126" s="139">
        <v>5</v>
      </c>
      <c r="F126" s="139">
        <v>400</v>
      </c>
      <c r="G126" s="139">
        <v>2</v>
      </c>
      <c r="H126" s="139">
        <v>2</v>
      </c>
      <c r="I126" s="139">
        <v>3</v>
      </c>
      <c r="J126" s="139">
        <v>3</v>
      </c>
      <c r="K126" s="136">
        <f t="shared" si="10"/>
        <v>800</v>
      </c>
      <c r="L126" s="136">
        <f t="shared" si="11"/>
        <v>800</v>
      </c>
      <c r="M126" s="136">
        <f t="shared" si="12"/>
        <v>1200</v>
      </c>
      <c r="N126" s="136">
        <f t="shared" si="13"/>
        <v>1200</v>
      </c>
      <c r="O126" s="136">
        <f t="shared" si="14"/>
        <v>160</v>
      </c>
      <c r="P126" s="136">
        <f t="shared" si="15"/>
        <v>160</v>
      </c>
      <c r="Q126" s="136">
        <f t="shared" si="16"/>
        <v>240</v>
      </c>
      <c r="R126" s="136">
        <f t="shared" si="17"/>
        <v>240</v>
      </c>
    </row>
    <row r="127" spans="1:18" x14ac:dyDescent="0.25">
      <c r="A127" s="111"/>
      <c r="B127" s="136" t="s">
        <v>618</v>
      </c>
      <c r="C127" s="135">
        <v>3</v>
      </c>
      <c r="D127" s="135" t="s">
        <v>720</v>
      </c>
      <c r="E127" s="135">
        <v>7</v>
      </c>
      <c r="F127" s="135">
        <v>5000</v>
      </c>
      <c r="G127" s="135">
        <v>0</v>
      </c>
      <c r="H127" s="135">
        <v>0</v>
      </c>
      <c r="I127" s="135">
        <v>2</v>
      </c>
      <c r="J127" s="135">
        <v>2</v>
      </c>
      <c r="K127" s="136">
        <f t="shared" si="10"/>
        <v>0</v>
      </c>
      <c r="L127" s="136">
        <f t="shared" si="11"/>
        <v>0</v>
      </c>
      <c r="M127" s="136">
        <f t="shared" si="12"/>
        <v>10000</v>
      </c>
      <c r="N127" s="136">
        <f t="shared" si="13"/>
        <v>10000</v>
      </c>
      <c r="O127" s="136">
        <f t="shared" si="14"/>
        <v>0</v>
      </c>
      <c r="P127" s="136">
        <f t="shared" si="15"/>
        <v>0</v>
      </c>
      <c r="Q127" s="136">
        <f t="shared" si="16"/>
        <v>1428.5714285714287</v>
      </c>
      <c r="R127" s="136">
        <f t="shared" si="17"/>
        <v>1428.5714285714287</v>
      </c>
    </row>
    <row r="128" spans="1:18" x14ac:dyDescent="0.25">
      <c r="A128" s="111"/>
      <c r="B128" s="136" t="s">
        <v>799</v>
      </c>
      <c r="C128" s="135">
        <v>13</v>
      </c>
      <c r="D128" s="135" t="s">
        <v>720</v>
      </c>
      <c r="E128" s="135">
        <v>5</v>
      </c>
      <c r="F128" s="135">
        <v>1000</v>
      </c>
      <c r="G128" s="135">
        <v>3</v>
      </c>
      <c r="H128" s="135">
        <v>3</v>
      </c>
      <c r="I128" s="135">
        <v>5</v>
      </c>
      <c r="J128" s="135">
        <v>5</v>
      </c>
      <c r="K128" s="136">
        <f t="shared" si="10"/>
        <v>3000</v>
      </c>
      <c r="L128" s="136">
        <f t="shared" si="11"/>
        <v>3000</v>
      </c>
      <c r="M128" s="136">
        <f t="shared" si="12"/>
        <v>5000</v>
      </c>
      <c r="N128" s="136">
        <f t="shared" si="13"/>
        <v>5000</v>
      </c>
      <c r="O128" s="136">
        <f t="shared" si="14"/>
        <v>600</v>
      </c>
      <c r="P128" s="136">
        <f t="shared" si="15"/>
        <v>600</v>
      </c>
      <c r="Q128" s="136">
        <f t="shared" si="16"/>
        <v>1000</v>
      </c>
      <c r="R128" s="136">
        <f t="shared" si="17"/>
        <v>1000</v>
      </c>
    </row>
    <row r="129" spans="1:18" x14ac:dyDescent="0.25">
      <c r="A129" s="111"/>
      <c r="B129" s="136" t="s">
        <v>619</v>
      </c>
      <c r="C129" s="135">
        <v>3</v>
      </c>
      <c r="D129" s="135" t="s">
        <v>720</v>
      </c>
      <c r="E129" s="135">
        <v>7</v>
      </c>
      <c r="F129" s="135">
        <v>500</v>
      </c>
      <c r="G129" s="135">
        <v>0</v>
      </c>
      <c r="H129" s="135">
        <v>0</v>
      </c>
      <c r="I129" s="135">
        <v>1</v>
      </c>
      <c r="J129" s="135">
        <v>1</v>
      </c>
      <c r="K129" s="136">
        <f t="shared" si="10"/>
        <v>0</v>
      </c>
      <c r="L129" s="136">
        <f t="shared" si="11"/>
        <v>0</v>
      </c>
      <c r="M129" s="136">
        <f t="shared" si="12"/>
        <v>500</v>
      </c>
      <c r="N129" s="136">
        <f t="shared" si="13"/>
        <v>500</v>
      </c>
      <c r="O129" s="136">
        <f t="shared" si="14"/>
        <v>0</v>
      </c>
      <c r="P129" s="136">
        <f t="shared" si="15"/>
        <v>0</v>
      </c>
      <c r="Q129" s="136">
        <f t="shared" si="16"/>
        <v>71.428571428571431</v>
      </c>
      <c r="R129" s="136">
        <f t="shared" si="17"/>
        <v>71.428571428571431</v>
      </c>
    </row>
    <row r="130" spans="1:18" x14ac:dyDescent="0.25">
      <c r="A130" s="111"/>
      <c r="B130" s="136" t="s">
        <v>800</v>
      </c>
      <c r="C130" s="135">
        <v>1</v>
      </c>
      <c r="D130" s="135" t="s">
        <v>720</v>
      </c>
      <c r="E130" s="135">
        <v>7</v>
      </c>
      <c r="F130" s="135">
        <v>20000</v>
      </c>
      <c r="G130" s="135">
        <v>1</v>
      </c>
      <c r="H130" s="135">
        <v>1</v>
      </c>
      <c r="I130" s="135">
        <v>1</v>
      </c>
      <c r="J130" s="135">
        <v>1</v>
      </c>
      <c r="K130" s="136">
        <f t="shared" si="10"/>
        <v>20000</v>
      </c>
      <c r="L130" s="136">
        <f t="shared" si="11"/>
        <v>20000</v>
      </c>
      <c r="M130" s="136">
        <f t="shared" si="12"/>
        <v>20000</v>
      </c>
      <c r="N130" s="136">
        <f t="shared" si="13"/>
        <v>20000</v>
      </c>
      <c r="O130" s="136">
        <f t="shared" si="14"/>
        <v>2857.1428571428573</v>
      </c>
      <c r="P130" s="136">
        <f t="shared" si="15"/>
        <v>2857.1428571428573</v>
      </c>
      <c r="Q130" s="136">
        <f t="shared" si="16"/>
        <v>2857.1428571428573</v>
      </c>
      <c r="R130" s="136">
        <f t="shared" si="17"/>
        <v>2857.1428571428573</v>
      </c>
    </row>
    <row r="131" spans="1:18" x14ac:dyDescent="0.25">
      <c r="A131" s="111"/>
      <c r="B131" s="136" t="s">
        <v>801</v>
      </c>
      <c r="C131" s="135">
        <v>5</v>
      </c>
      <c r="D131" s="135" t="s">
        <v>720</v>
      </c>
      <c r="E131" s="135">
        <v>10</v>
      </c>
      <c r="F131" s="135">
        <v>200000</v>
      </c>
      <c r="G131" s="135">
        <v>0</v>
      </c>
      <c r="H131" s="135">
        <v>0</v>
      </c>
      <c r="I131" s="135">
        <v>0</v>
      </c>
      <c r="J131" s="135">
        <v>2</v>
      </c>
      <c r="K131" s="136">
        <f t="shared" si="10"/>
        <v>0</v>
      </c>
      <c r="L131" s="136">
        <f t="shared" si="11"/>
        <v>0</v>
      </c>
      <c r="M131" s="136">
        <f t="shared" si="12"/>
        <v>0</v>
      </c>
      <c r="N131" s="136">
        <f t="shared" si="13"/>
        <v>400000</v>
      </c>
      <c r="O131" s="136">
        <f t="shared" si="14"/>
        <v>0</v>
      </c>
      <c r="P131" s="136">
        <f t="shared" si="15"/>
        <v>0</v>
      </c>
      <c r="Q131" s="136">
        <f t="shared" si="16"/>
        <v>0</v>
      </c>
      <c r="R131" s="136">
        <f t="shared" si="17"/>
        <v>40000</v>
      </c>
    </row>
    <row r="132" spans="1:18" x14ac:dyDescent="0.25">
      <c r="A132" s="111"/>
      <c r="B132" s="136" t="s">
        <v>802</v>
      </c>
      <c r="C132" s="135">
        <v>5</v>
      </c>
      <c r="D132" s="135" t="s">
        <v>720</v>
      </c>
      <c r="E132" s="135">
        <v>5</v>
      </c>
      <c r="F132" s="135">
        <v>100</v>
      </c>
      <c r="G132" s="135">
        <v>2</v>
      </c>
      <c r="H132" s="135">
        <v>2</v>
      </c>
      <c r="I132" s="135">
        <v>3</v>
      </c>
      <c r="J132" s="135">
        <v>3</v>
      </c>
      <c r="K132" s="136">
        <f t="shared" si="10"/>
        <v>200</v>
      </c>
      <c r="L132" s="136">
        <f t="shared" si="11"/>
        <v>200</v>
      </c>
      <c r="M132" s="136">
        <f t="shared" si="12"/>
        <v>300</v>
      </c>
      <c r="N132" s="136">
        <f t="shared" si="13"/>
        <v>300</v>
      </c>
      <c r="O132" s="136">
        <f t="shared" si="14"/>
        <v>40</v>
      </c>
      <c r="P132" s="136">
        <f t="shared" si="15"/>
        <v>40</v>
      </c>
      <c r="Q132" s="136">
        <f t="shared" si="16"/>
        <v>60</v>
      </c>
      <c r="R132" s="136">
        <f t="shared" si="17"/>
        <v>60</v>
      </c>
    </row>
    <row r="133" spans="1:18" x14ac:dyDescent="0.25">
      <c r="A133" s="111"/>
      <c r="B133" s="136" t="s">
        <v>803</v>
      </c>
      <c r="C133" s="135">
        <v>10</v>
      </c>
      <c r="D133" s="135" t="s">
        <v>718</v>
      </c>
      <c r="E133" s="135"/>
      <c r="F133" s="135">
        <v>500</v>
      </c>
      <c r="G133" s="135">
        <v>1</v>
      </c>
      <c r="H133" s="135">
        <v>1</v>
      </c>
      <c r="I133" s="135">
        <v>2</v>
      </c>
      <c r="J133" s="135">
        <v>2</v>
      </c>
      <c r="K133" s="136">
        <f t="shared" si="10"/>
        <v>500</v>
      </c>
      <c r="L133" s="136">
        <f t="shared" si="11"/>
        <v>500</v>
      </c>
      <c r="M133" s="136">
        <f t="shared" si="12"/>
        <v>1000</v>
      </c>
      <c r="N133" s="136">
        <f t="shared" si="13"/>
        <v>1000</v>
      </c>
      <c r="O133" s="136">
        <f t="shared" si="14"/>
        <v>0</v>
      </c>
      <c r="P133" s="136">
        <f t="shared" si="15"/>
        <v>0</v>
      </c>
      <c r="Q133" s="136">
        <f t="shared" si="16"/>
        <v>0</v>
      </c>
      <c r="R133" s="136">
        <f t="shared" si="17"/>
        <v>0</v>
      </c>
    </row>
    <row r="134" spans="1:18" x14ac:dyDescent="0.25">
      <c r="A134" s="111"/>
      <c r="B134" s="136" t="s">
        <v>804</v>
      </c>
      <c r="C134" s="135">
        <v>11</v>
      </c>
      <c r="D134" s="135" t="s">
        <v>718</v>
      </c>
      <c r="E134" s="135"/>
      <c r="F134" s="135">
        <v>2000</v>
      </c>
      <c r="G134" s="135">
        <v>0</v>
      </c>
      <c r="H134" s="135">
        <v>0</v>
      </c>
      <c r="I134" s="135">
        <v>1</v>
      </c>
      <c r="J134" s="135">
        <v>1</v>
      </c>
      <c r="K134" s="136">
        <f t="shared" ref="K134:K184" si="18">IF($F134*G134&gt;0,$F134*G134,0)</f>
        <v>0</v>
      </c>
      <c r="L134" s="136">
        <f t="shared" ref="L134:L184" si="19">IF($F134*H134&gt;0,$F134*H134,0)</f>
        <v>0</v>
      </c>
      <c r="M134" s="136">
        <f t="shared" ref="M134:M184" si="20">IF($F134*I134&gt;0,$F134*I134,0)</f>
        <v>2000</v>
      </c>
      <c r="N134" s="136">
        <f t="shared" ref="N134:N184" si="21">IF($F134*J134&gt;0,$F134*J134,0)</f>
        <v>2000</v>
      </c>
      <c r="O134" s="136">
        <f t="shared" ref="O134:O184" si="22">IF($D134="e",K134/$E134,0)</f>
        <v>0</v>
      </c>
      <c r="P134" s="136">
        <f t="shared" ref="P134:P184" si="23">IF($D134="e",L134/$E134,0)</f>
        <v>0</v>
      </c>
      <c r="Q134" s="136">
        <f t="shared" ref="Q134:Q184" si="24">IF($D134="e",M134/$E134,0)</f>
        <v>0</v>
      </c>
      <c r="R134" s="136">
        <f t="shared" ref="R134:R184" si="25">IF($D134="e",N134/$E134,0)</f>
        <v>0</v>
      </c>
    </row>
    <row r="135" spans="1:18" x14ac:dyDescent="0.25">
      <c r="A135" s="111"/>
      <c r="B135" s="136" t="s">
        <v>623</v>
      </c>
      <c r="C135" s="135">
        <v>3</v>
      </c>
      <c r="D135" s="135" t="s">
        <v>720</v>
      </c>
      <c r="E135" s="135">
        <v>5</v>
      </c>
      <c r="F135" s="135">
        <v>500</v>
      </c>
      <c r="G135" s="135">
        <v>0</v>
      </c>
      <c r="H135" s="135">
        <v>0</v>
      </c>
      <c r="I135" s="135">
        <v>10</v>
      </c>
      <c r="J135" s="135">
        <v>10</v>
      </c>
      <c r="K135" s="136">
        <f t="shared" si="18"/>
        <v>0</v>
      </c>
      <c r="L135" s="136">
        <f t="shared" si="19"/>
        <v>0</v>
      </c>
      <c r="M135" s="136">
        <f t="shared" si="20"/>
        <v>5000</v>
      </c>
      <c r="N135" s="136">
        <f t="shared" si="21"/>
        <v>5000</v>
      </c>
      <c r="O135" s="136">
        <f t="shared" si="22"/>
        <v>0</v>
      </c>
      <c r="P135" s="136">
        <f t="shared" si="23"/>
        <v>0</v>
      </c>
      <c r="Q135" s="136">
        <f t="shared" si="24"/>
        <v>1000</v>
      </c>
      <c r="R135" s="136">
        <f t="shared" si="25"/>
        <v>1000</v>
      </c>
    </row>
    <row r="136" spans="1:18" x14ac:dyDescent="0.25">
      <c r="A136" s="111"/>
      <c r="B136" s="136" t="s">
        <v>805</v>
      </c>
      <c r="C136" s="135">
        <v>4</v>
      </c>
      <c r="D136" s="135" t="s">
        <v>720</v>
      </c>
      <c r="E136" s="135">
        <v>10</v>
      </c>
      <c r="F136" s="135">
        <v>300000</v>
      </c>
      <c r="G136" s="135">
        <v>0</v>
      </c>
      <c r="H136" s="135">
        <v>1</v>
      </c>
      <c r="I136" s="135">
        <v>0</v>
      </c>
      <c r="J136" s="137">
        <v>0</v>
      </c>
      <c r="K136" s="136">
        <f t="shared" si="18"/>
        <v>0</v>
      </c>
      <c r="L136" s="136">
        <f t="shared" si="19"/>
        <v>300000</v>
      </c>
      <c r="M136" s="136">
        <f t="shared" si="20"/>
        <v>0</v>
      </c>
      <c r="N136" s="136">
        <f t="shared" si="21"/>
        <v>0</v>
      </c>
      <c r="O136" s="136">
        <f t="shared" si="22"/>
        <v>0</v>
      </c>
      <c r="P136" s="136">
        <f t="shared" si="23"/>
        <v>30000</v>
      </c>
      <c r="Q136" s="136">
        <f t="shared" si="24"/>
        <v>0</v>
      </c>
      <c r="R136" s="136">
        <f t="shared" si="25"/>
        <v>0</v>
      </c>
    </row>
    <row r="137" spans="1:18" x14ac:dyDescent="0.25">
      <c r="A137" s="111"/>
      <c r="B137" s="136" t="s">
        <v>806</v>
      </c>
      <c r="C137" s="135">
        <v>14</v>
      </c>
      <c r="D137" s="135" t="s">
        <v>720</v>
      </c>
      <c r="E137" s="135">
        <v>7</v>
      </c>
      <c r="F137" s="135">
        <v>4000</v>
      </c>
      <c r="G137" s="135">
        <v>1</v>
      </c>
      <c r="H137" s="135">
        <v>1</v>
      </c>
      <c r="I137" s="135">
        <v>1</v>
      </c>
      <c r="J137" s="135">
        <v>1</v>
      </c>
      <c r="K137" s="136">
        <f t="shared" si="18"/>
        <v>4000</v>
      </c>
      <c r="L137" s="136">
        <f t="shared" si="19"/>
        <v>4000</v>
      </c>
      <c r="M137" s="136">
        <f t="shared" si="20"/>
        <v>4000</v>
      </c>
      <c r="N137" s="136">
        <f t="shared" si="21"/>
        <v>4000</v>
      </c>
      <c r="O137" s="136">
        <f t="shared" si="22"/>
        <v>571.42857142857144</v>
      </c>
      <c r="P137" s="136">
        <f t="shared" si="23"/>
        <v>571.42857142857144</v>
      </c>
      <c r="Q137" s="136">
        <f t="shared" si="24"/>
        <v>571.42857142857144</v>
      </c>
      <c r="R137" s="136">
        <f t="shared" si="25"/>
        <v>571.42857142857144</v>
      </c>
    </row>
    <row r="138" spans="1:18" x14ac:dyDescent="0.25">
      <c r="A138" s="111"/>
      <c r="B138" s="136" t="s">
        <v>807</v>
      </c>
      <c r="C138" s="135">
        <v>14</v>
      </c>
      <c r="D138" s="135" t="s">
        <v>720</v>
      </c>
      <c r="E138" s="135">
        <v>7</v>
      </c>
      <c r="F138" s="135">
        <v>20000</v>
      </c>
      <c r="G138" s="135">
        <v>1</v>
      </c>
      <c r="H138" s="135">
        <v>1</v>
      </c>
      <c r="I138" s="135">
        <v>0</v>
      </c>
      <c r="J138" s="135">
        <v>0</v>
      </c>
      <c r="K138" s="136">
        <f t="shared" si="18"/>
        <v>20000</v>
      </c>
      <c r="L138" s="136">
        <f t="shared" si="19"/>
        <v>20000</v>
      </c>
      <c r="M138" s="136">
        <f t="shared" si="20"/>
        <v>0</v>
      </c>
      <c r="N138" s="136">
        <f t="shared" si="21"/>
        <v>0</v>
      </c>
      <c r="O138" s="136">
        <f t="shared" si="22"/>
        <v>2857.1428571428573</v>
      </c>
      <c r="P138" s="136">
        <f t="shared" si="23"/>
        <v>2857.1428571428573</v>
      </c>
      <c r="Q138" s="136">
        <f t="shared" si="24"/>
        <v>0</v>
      </c>
      <c r="R138" s="136">
        <f t="shared" si="25"/>
        <v>0</v>
      </c>
    </row>
    <row r="139" spans="1:18" x14ac:dyDescent="0.25">
      <c r="A139" s="111"/>
      <c r="B139" s="136" t="s">
        <v>808</v>
      </c>
      <c r="C139" s="135">
        <v>6</v>
      </c>
      <c r="D139" s="135" t="s">
        <v>720</v>
      </c>
      <c r="E139" s="135">
        <v>5</v>
      </c>
      <c r="F139" s="135">
        <v>500</v>
      </c>
      <c r="G139" s="135">
        <v>0</v>
      </c>
      <c r="H139" s="135">
        <v>0</v>
      </c>
      <c r="I139" s="135">
        <v>2</v>
      </c>
      <c r="J139" s="135">
        <v>2</v>
      </c>
      <c r="K139" s="136">
        <f t="shared" si="18"/>
        <v>0</v>
      </c>
      <c r="L139" s="136">
        <f t="shared" si="19"/>
        <v>0</v>
      </c>
      <c r="M139" s="136">
        <f t="shared" si="20"/>
        <v>1000</v>
      </c>
      <c r="N139" s="136">
        <f t="shared" si="21"/>
        <v>1000</v>
      </c>
      <c r="O139" s="136">
        <f t="shared" si="22"/>
        <v>0</v>
      </c>
      <c r="P139" s="136">
        <f t="shared" si="23"/>
        <v>0</v>
      </c>
      <c r="Q139" s="136">
        <f t="shared" si="24"/>
        <v>200</v>
      </c>
      <c r="R139" s="136">
        <f t="shared" si="25"/>
        <v>200</v>
      </c>
    </row>
    <row r="140" spans="1:18" x14ac:dyDescent="0.25">
      <c r="A140" s="111"/>
      <c r="B140" s="136" t="s">
        <v>809</v>
      </c>
      <c r="C140" s="135">
        <v>6</v>
      </c>
      <c r="D140" s="135" t="s">
        <v>720</v>
      </c>
      <c r="E140" s="135">
        <v>8</v>
      </c>
      <c r="F140" s="135">
        <v>95000</v>
      </c>
      <c r="G140" s="135">
        <v>0</v>
      </c>
      <c r="H140" s="135">
        <v>0</v>
      </c>
      <c r="I140" s="135">
        <v>0</v>
      </c>
      <c r="J140" s="135">
        <v>2</v>
      </c>
      <c r="K140" s="136">
        <f t="shared" si="18"/>
        <v>0</v>
      </c>
      <c r="L140" s="136">
        <f t="shared" si="19"/>
        <v>0</v>
      </c>
      <c r="M140" s="136">
        <f t="shared" si="20"/>
        <v>0</v>
      </c>
      <c r="N140" s="136">
        <f t="shared" si="21"/>
        <v>190000</v>
      </c>
      <c r="O140" s="136">
        <f t="shared" si="22"/>
        <v>0</v>
      </c>
      <c r="P140" s="136">
        <f t="shared" si="23"/>
        <v>0</v>
      </c>
      <c r="Q140" s="136">
        <f t="shared" si="24"/>
        <v>0</v>
      </c>
      <c r="R140" s="136">
        <f t="shared" si="25"/>
        <v>23750</v>
      </c>
    </row>
    <row r="141" spans="1:18" x14ac:dyDescent="0.25">
      <c r="A141" s="111"/>
      <c r="B141" s="136" t="s">
        <v>810</v>
      </c>
      <c r="C141" s="135">
        <v>5</v>
      </c>
      <c r="D141" s="135" t="s">
        <v>720</v>
      </c>
      <c r="E141" s="135">
        <v>10</v>
      </c>
      <c r="F141" s="135">
        <v>100000</v>
      </c>
      <c r="G141" s="135">
        <v>0</v>
      </c>
      <c r="H141" s="135">
        <v>0</v>
      </c>
      <c r="I141" s="135">
        <v>2</v>
      </c>
      <c r="J141" s="135">
        <v>7</v>
      </c>
      <c r="K141" s="136">
        <f t="shared" si="18"/>
        <v>0</v>
      </c>
      <c r="L141" s="136">
        <f t="shared" si="19"/>
        <v>0</v>
      </c>
      <c r="M141" s="136">
        <f t="shared" si="20"/>
        <v>200000</v>
      </c>
      <c r="N141" s="136">
        <f t="shared" si="21"/>
        <v>700000</v>
      </c>
      <c r="O141" s="136">
        <f t="shared" si="22"/>
        <v>0</v>
      </c>
      <c r="P141" s="136">
        <f t="shared" si="23"/>
        <v>0</v>
      </c>
      <c r="Q141" s="136">
        <f t="shared" si="24"/>
        <v>20000</v>
      </c>
      <c r="R141" s="136">
        <f t="shared" si="25"/>
        <v>70000</v>
      </c>
    </row>
    <row r="142" spans="1:18" ht="15" customHeight="1" x14ac:dyDescent="0.25">
      <c r="B142" s="136" t="s">
        <v>811</v>
      </c>
      <c r="C142" s="135">
        <v>10</v>
      </c>
      <c r="D142" s="135" t="s">
        <v>718</v>
      </c>
      <c r="E142" s="135"/>
      <c r="F142" s="135">
        <v>100</v>
      </c>
      <c r="G142" s="135">
        <v>4</v>
      </c>
      <c r="H142" s="135">
        <v>4</v>
      </c>
      <c r="I142" s="135">
        <v>4</v>
      </c>
      <c r="J142" s="135">
        <v>4</v>
      </c>
      <c r="K142" s="136">
        <f t="shared" si="18"/>
        <v>400</v>
      </c>
      <c r="L142" s="136">
        <f t="shared" si="19"/>
        <v>400</v>
      </c>
      <c r="M142" s="136">
        <f t="shared" si="20"/>
        <v>400</v>
      </c>
      <c r="N142" s="136">
        <f t="shared" si="21"/>
        <v>400</v>
      </c>
      <c r="O142" s="136">
        <f t="shared" si="22"/>
        <v>0</v>
      </c>
      <c r="P142" s="136">
        <f t="shared" si="23"/>
        <v>0</v>
      </c>
      <c r="Q142" s="136">
        <f t="shared" si="24"/>
        <v>0</v>
      </c>
      <c r="R142" s="136">
        <f t="shared" si="25"/>
        <v>0</v>
      </c>
    </row>
    <row r="143" spans="1:18" ht="15" customHeight="1" x14ac:dyDescent="0.25">
      <c r="B143" s="136" t="s">
        <v>615</v>
      </c>
      <c r="C143" s="135">
        <v>1</v>
      </c>
      <c r="D143" s="135" t="s">
        <v>718</v>
      </c>
      <c r="E143" s="135"/>
      <c r="F143" s="135">
        <v>400</v>
      </c>
      <c r="G143" s="135">
        <v>4</v>
      </c>
      <c r="H143" s="135">
        <v>4</v>
      </c>
      <c r="I143" s="135">
        <v>10</v>
      </c>
      <c r="J143" s="135">
        <v>10</v>
      </c>
      <c r="K143" s="136">
        <f t="shared" si="18"/>
        <v>1600</v>
      </c>
      <c r="L143" s="136">
        <f t="shared" si="19"/>
        <v>1600</v>
      </c>
      <c r="M143" s="136">
        <f t="shared" si="20"/>
        <v>4000</v>
      </c>
      <c r="N143" s="136">
        <f t="shared" si="21"/>
        <v>4000</v>
      </c>
      <c r="O143" s="136">
        <f t="shared" si="22"/>
        <v>0</v>
      </c>
      <c r="P143" s="136">
        <f t="shared" si="23"/>
        <v>0</v>
      </c>
      <c r="Q143" s="136">
        <f t="shared" si="24"/>
        <v>0</v>
      </c>
      <c r="R143" s="136">
        <f t="shared" si="25"/>
        <v>0</v>
      </c>
    </row>
    <row r="144" spans="1:18" ht="15" customHeight="1" x14ac:dyDescent="0.25">
      <c r="B144" s="136" t="s">
        <v>631</v>
      </c>
      <c r="C144" s="135">
        <v>10</v>
      </c>
      <c r="D144" s="135" t="s">
        <v>720</v>
      </c>
      <c r="E144" s="135">
        <v>10</v>
      </c>
      <c r="F144" s="135">
        <v>40000</v>
      </c>
      <c r="G144" s="135">
        <v>1</v>
      </c>
      <c r="H144" s="135">
        <v>1</v>
      </c>
      <c r="I144" s="135">
        <v>1</v>
      </c>
      <c r="J144" s="135">
        <v>1</v>
      </c>
      <c r="K144" s="136">
        <f t="shared" si="18"/>
        <v>40000</v>
      </c>
      <c r="L144" s="136">
        <f t="shared" si="19"/>
        <v>40000</v>
      </c>
      <c r="M144" s="136">
        <f t="shared" si="20"/>
        <v>40000</v>
      </c>
      <c r="N144" s="136">
        <f t="shared" si="21"/>
        <v>40000</v>
      </c>
      <c r="O144" s="136">
        <f t="shared" si="22"/>
        <v>4000</v>
      </c>
      <c r="P144" s="136">
        <f t="shared" si="23"/>
        <v>4000</v>
      </c>
      <c r="Q144" s="136">
        <f t="shared" si="24"/>
        <v>4000</v>
      </c>
      <c r="R144" s="136">
        <f t="shared" si="25"/>
        <v>4000</v>
      </c>
    </row>
    <row r="145" spans="2:18" ht="15" customHeight="1" x14ac:dyDescent="0.25">
      <c r="B145" s="136" t="s">
        <v>812</v>
      </c>
      <c r="C145" s="135">
        <v>5</v>
      </c>
      <c r="D145" s="135" t="s">
        <v>720</v>
      </c>
      <c r="E145" s="135">
        <v>10</v>
      </c>
      <c r="F145" s="135">
        <v>7000</v>
      </c>
      <c r="G145" s="135">
        <v>0</v>
      </c>
      <c r="H145" s="135">
        <v>0</v>
      </c>
      <c r="I145" s="135">
        <v>2</v>
      </c>
      <c r="J145" s="135">
        <v>4</v>
      </c>
      <c r="K145" s="136">
        <f t="shared" si="18"/>
        <v>0</v>
      </c>
      <c r="L145" s="136">
        <f t="shared" si="19"/>
        <v>0</v>
      </c>
      <c r="M145" s="136">
        <f t="shared" si="20"/>
        <v>14000</v>
      </c>
      <c r="N145" s="136">
        <f t="shared" si="21"/>
        <v>28000</v>
      </c>
      <c r="O145" s="136">
        <f t="shared" si="22"/>
        <v>0</v>
      </c>
      <c r="P145" s="136">
        <f t="shared" si="23"/>
        <v>0</v>
      </c>
      <c r="Q145" s="136">
        <f t="shared" si="24"/>
        <v>1400</v>
      </c>
      <c r="R145" s="136">
        <f t="shared" si="25"/>
        <v>2800</v>
      </c>
    </row>
    <row r="146" spans="2:18" ht="15" customHeight="1" x14ac:dyDescent="0.25">
      <c r="B146" s="138" t="s">
        <v>601</v>
      </c>
      <c r="C146" s="139">
        <v>2</v>
      </c>
      <c r="D146" s="139" t="s">
        <v>720</v>
      </c>
      <c r="E146" s="139">
        <v>5</v>
      </c>
      <c r="F146" s="139">
        <v>600</v>
      </c>
      <c r="G146" s="139">
        <v>2</v>
      </c>
      <c r="H146" s="139">
        <v>2</v>
      </c>
      <c r="I146" s="139">
        <v>3</v>
      </c>
      <c r="J146" s="139">
        <v>3</v>
      </c>
      <c r="K146" s="136">
        <f t="shared" si="18"/>
        <v>1200</v>
      </c>
      <c r="L146" s="136">
        <f t="shared" si="19"/>
        <v>1200</v>
      </c>
      <c r="M146" s="136">
        <f t="shared" si="20"/>
        <v>1800</v>
      </c>
      <c r="N146" s="136">
        <f t="shared" si="21"/>
        <v>1800</v>
      </c>
      <c r="O146" s="136">
        <f t="shared" si="22"/>
        <v>240</v>
      </c>
      <c r="P146" s="136">
        <f t="shared" si="23"/>
        <v>240</v>
      </c>
      <c r="Q146" s="136">
        <f t="shared" si="24"/>
        <v>360</v>
      </c>
      <c r="R146" s="136">
        <f t="shared" si="25"/>
        <v>360</v>
      </c>
    </row>
    <row r="147" spans="2:18" ht="15" customHeight="1" x14ac:dyDescent="0.25">
      <c r="B147" s="136" t="s">
        <v>813</v>
      </c>
      <c r="C147" s="135">
        <v>5</v>
      </c>
      <c r="D147" s="135" t="s">
        <v>720</v>
      </c>
      <c r="E147" s="135">
        <v>5</v>
      </c>
      <c r="F147" s="135">
        <v>1000</v>
      </c>
      <c r="G147" s="135">
        <v>1</v>
      </c>
      <c r="H147" s="135">
        <v>1</v>
      </c>
      <c r="I147" s="135">
        <v>1</v>
      </c>
      <c r="J147" s="135">
        <v>1</v>
      </c>
      <c r="K147" s="136">
        <f t="shared" si="18"/>
        <v>1000</v>
      </c>
      <c r="L147" s="136">
        <f t="shared" si="19"/>
        <v>1000</v>
      </c>
      <c r="M147" s="136">
        <f t="shared" si="20"/>
        <v>1000</v>
      </c>
      <c r="N147" s="136">
        <f t="shared" si="21"/>
        <v>1000</v>
      </c>
      <c r="O147" s="136">
        <f t="shared" si="22"/>
        <v>200</v>
      </c>
      <c r="P147" s="136">
        <f t="shared" si="23"/>
        <v>200</v>
      </c>
      <c r="Q147" s="136">
        <f t="shared" si="24"/>
        <v>200</v>
      </c>
      <c r="R147" s="136">
        <f t="shared" si="25"/>
        <v>200</v>
      </c>
    </row>
    <row r="148" spans="2:18" ht="15" customHeight="1" x14ac:dyDescent="0.25">
      <c r="B148" s="136" t="s">
        <v>814</v>
      </c>
      <c r="C148" s="135">
        <v>10</v>
      </c>
      <c r="D148" s="135" t="s">
        <v>720</v>
      </c>
      <c r="E148" s="135">
        <v>5</v>
      </c>
      <c r="F148" s="135">
        <v>1000</v>
      </c>
      <c r="G148" s="135">
        <v>1</v>
      </c>
      <c r="H148" s="135">
        <v>1</v>
      </c>
      <c r="I148" s="135">
        <v>1</v>
      </c>
      <c r="J148" s="135">
        <v>1</v>
      </c>
      <c r="K148" s="136">
        <f t="shared" si="18"/>
        <v>1000</v>
      </c>
      <c r="L148" s="136">
        <f t="shared" si="19"/>
        <v>1000</v>
      </c>
      <c r="M148" s="136">
        <f t="shared" si="20"/>
        <v>1000</v>
      </c>
      <c r="N148" s="136">
        <f t="shared" si="21"/>
        <v>1000</v>
      </c>
      <c r="O148" s="136">
        <f t="shared" si="22"/>
        <v>200</v>
      </c>
      <c r="P148" s="136">
        <f t="shared" si="23"/>
        <v>200</v>
      </c>
      <c r="Q148" s="136">
        <f t="shared" si="24"/>
        <v>200</v>
      </c>
      <c r="R148" s="136">
        <f t="shared" si="25"/>
        <v>200</v>
      </c>
    </row>
    <row r="149" spans="2:18" ht="15" customHeight="1" x14ac:dyDescent="0.25">
      <c r="B149" s="136" t="s">
        <v>815</v>
      </c>
      <c r="C149" s="135">
        <v>7</v>
      </c>
      <c r="D149" s="135" t="s">
        <v>720</v>
      </c>
      <c r="E149" s="135">
        <v>5</v>
      </c>
      <c r="F149" s="135">
        <v>100</v>
      </c>
      <c r="G149" s="135">
        <v>2</v>
      </c>
      <c r="H149" s="135">
        <v>2</v>
      </c>
      <c r="I149" s="135">
        <v>2</v>
      </c>
      <c r="J149" s="135">
        <v>4</v>
      </c>
      <c r="K149" s="136">
        <f t="shared" si="18"/>
        <v>200</v>
      </c>
      <c r="L149" s="136">
        <f t="shared" si="19"/>
        <v>200</v>
      </c>
      <c r="M149" s="136">
        <f t="shared" si="20"/>
        <v>200</v>
      </c>
      <c r="N149" s="136">
        <f t="shared" si="21"/>
        <v>400</v>
      </c>
      <c r="O149" s="136">
        <f t="shared" si="22"/>
        <v>40</v>
      </c>
      <c r="P149" s="136">
        <f t="shared" si="23"/>
        <v>40</v>
      </c>
      <c r="Q149" s="136">
        <f t="shared" si="24"/>
        <v>40</v>
      </c>
      <c r="R149" s="136">
        <f t="shared" si="25"/>
        <v>80</v>
      </c>
    </row>
    <row r="150" spans="2:18" ht="15" customHeight="1" x14ac:dyDescent="0.25">
      <c r="B150" s="138" t="s">
        <v>816</v>
      </c>
      <c r="C150" s="139">
        <v>2</v>
      </c>
      <c r="D150" s="139" t="s">
        <v>720</v>
      </c>
      <c r="E150" s="139">
        <v>5</v>
      </c>
      <c r="F150" s="139">
        <v>100</v>
      </c>
      <c r="G150" s="139">
        <v>4</v>
      </c>
      <c r="H150" s="139">
        <v>4</v>
      </c>
      <c r="I150" s="139">
        <v>13</v>
      </c>
      <c r="J150" s="139">
        <v>14</v>
      </c>
      <c r="K150" s="136">
        <f t="shared" si="18"/>
        <v>400</v>
      </c>
      <c r="L150" s="136">
        <f t="shared" si="19"/>
        <v>400</v>
      </c>
      <c r="M150" s="136">
        <f t="shared" si="20"/>
        <v>1300</v>
      </c>
      <c r="N150" s="136">
        <f t="shared" si="21"/>
        <v>1400</v>
      </c>
      <c r="O150" s="136">
        <f t="shared" si="22"/>
        <v>80</v>
      </c>
      <c r="P150" s="136">
        <f t="shared" si="23"/>
        <v>80</v>
      </c>
      <c r="Q150" s="136">
        <f t="shared" si="24"/>
        <v>260</v>
      </c>
      <c r="R150" s="136">
        <f t="shared" si="25"/>
        <v>280</v>
      </c>
    </row>
    <row r="151" spans="2:18" ht="15" customHeight="1" x14ac:dyDescent="0.25">
      <c r="B151" s="138" t="s">
        <v>610</v>
      </c>
      <c r="C151" s="139">
        <v>2</v>
      </c>
      <c r="D151" s="139" t="s">
        <v>720</v>
      </c>
      <c r="E151" s="139">
        <v>5</v>
      </c>
      <c r="F151" s="139">
        <v>3000</v>
      </c>
      <c r="G151" s="139">
        <v>2</v>
      </c>
      <c r="H151" s="139">
        <v>2</v>
      </c>
      <c r="I151" s="139">
        <v>4</v>
      </c>
      <c r="J151" s="139">
        <v>4</v>
      </c>
      <c r="K151" s="136">
        <f t="shared" si="18"/>
        <v>6000</v>
      </c>
      <c r="L151" s="136">
        <f t="shared" si="19"/>
        <v>6000</v>
      </c>
      <c r="M151" s="136">
        <f t="shared" si="20"/>
        <v>12000</v>
      </c>
      <c r="N151" s="136">
        <f t="shared" si="21"/>
        <v>12000</v>
      </c>
      <c r="O151" s="136">
        <f t="shared" si="22"/>
        <v>1200</v>
      </c>
      <c r="P151" s="136">
        <f t="shared" si="23"/>
        <v>1200</v>
      </c>
      <c r="Q151" s="136">
        <f t="shared" si="24"/>
        <v>2400</v>
      </c>
      <c r="R151" s="136">
        <f t="shared" si="25"/>
        <v>2400</v>
      </c>
    </row>
    <row r="152" spans="2:18" ht="15" customHeight="1" x14ac:dyDescent="0.25">
      <c r="B152" s="136" t="s">
        <v>817</v>
      </c>
      <c r="C152" s="135">
        <v>5</v>
      </c>
      <c r="D152" s="135" t="s">
        <v>720</v>
      </c>
      <c r="E152" s="135">
        <v>8</v>
      </c>
      <c r="F152" s="135">
        <v>38000</v>
      </c>
      <c r="G152" s="135">
        <v>1</v>
      </c>
      <c r="H152" s="135">
        <v>1</v>
      </c>
      <c r="I152" s="135">
        <v>2</v>
      </c>
      <c r="J152" s="135">
        <v>2</v>
      </c>
      <c r="K152" s="136">
        <f t="shared" si="18"/>
        <v>38000</v>
      </c>
      <c r="L152" s="136">
        <f t="shared" si="19"/>
        <v>38000</v>
      </c>
      <c r="M152" s="136">
        <f t="shared" si="20"/>
        <v>76000</v>
      </c>
      <c r="N152" s="136">
        <f t="shared" si="21"/>
        <v>76000</v>
      </c>
      <c r="O152" s="136">
        <f t="shared" si="22"/>
        <v>4750</v>
      </c>
      <c r="P152" s="136">
        <f t="shared" si="23"/>
        <v>4750</v>
      </c>
      <c r="Q152" s="136">
        <f t="shared" si="24"/>
        <v>9500</v>
      </c>
      <c r="R152" s="136">
        <f t="shared" si="25"/>
        <v>9500</v>
      </c>
    </row>
    <row r="153" spans="2:18" ht="15" customHeight="1" x14ac:dyDescent="0.25">
      <c r="B153" s="136" t="s">
        <v>818</v>
      </c>
      <c r="C153" s="135">
        <v>5</v>
      </c>
      <c r="D153" s="135" t="s">
        <v>720</v>
      </c>
      <c r="E153" s="135">
        <v>5</v>
      </c>
      <c r="F153" s="135">
        <v>300</v>
      </c>
      <c r="G153" s="135">
        <v>2</v>
      </c>
      <c r="H153" s="135">
        <v>2</v>
      </c>
      <c r="I153" s="135">
        <v>8</v>
      </c>
      <c r="J153" s="135">
        <v>8</v>
      </c>
      <c r="K153" s="136">
        <f t="shared" si="18"/>
        <v>600</v>
      </c>
      <c r="L153" s="136">
        <f t="shared" si="19"/>
        <v>600</v>
      </c>
      <c r="M153" s="136">
        <f t="shared" si="20"/>
        <v>2400</v>
      </c>
      <c r="N153" s="136">
        <f t="shared" si="21"/>
        <v>2400</v>
      </c>
      <c r="O153" s="136">
        <f t="shared" si="22"/>
        <v>120</v>
      </c>
      <c r="P153" s="136">
        <f t="shared" si="23"/>
        <v>120</v>
      </c>
      <c r="Q153" s="136">
        <f t="shared" si="24"/>
        <v>480</v>
      </c>
      <c r="R153" s="136">
        <f t="shared" si="25"/>
        <v>480</v>
      </c>
    </row>
    <row r="154" spans="2:18" ht="15" customHeight="1" x14ac:dyDescent="0.25">
      <c r="B154" s="136" t="s">
        <v>819</v>
      </c>
      <c r="C154" s="135">
        <v>5</v>
      </c>
      <c r="D154" s="135" t="s">
        <v>720</v>
      </c>
      <c r="E154" s="135">
        <v>5</v>
      </c>
      <c r="F154" s="135">
        <v>300</v>
      </c>
      <c r="G154" s="135">
        <v>2</v>
      </c>
      <c r="H154" s="135">
        <v>2</v>
      </c>
      <c r="I154" s="135">
        <v>5</v>
      </c>
      <c r="J154" s="135">
        <v>5</v>
      </c>
      <c r="K154" s="136">
        <f t="shared" si="18"/>
        <v>600</v>
      </c>
      <c r="L154" s="136">
        <f t="shared" si="19"/>
        <v>600</v>
      </c>
      <c r="M154" s="136">
        <f t="shared" si="20"/>
        <v>1500</v>
      </c>
      <c r="N154" s="136">
        <f t="shared" si="21"/>
        <v>1500</v>
      </c>
      <c r="O154" s="136">
        <f t="shared" si="22"/>
        <v>120</v>
      </c>
      <c r="P154" s="136">
        <f t="shared" si="23"/>
        <v>120</v>
      </c>
      <c r="Q154" s="136">
        <f t="shared" si="24"/>
        <v>300</v>
      </c>
      <c r="R154" s="136">
        <f t="shared" si="25"/>
        <v>300</v>
      </c>
    </row>
    <row r="155" spans="2:18" ht="15" customHeight="1" x14ac:dyDescent="0.25">
      <c r="B155" s="136" t="s">
        <v>820</v>
      </c>
      <c r="C155" s="135">
        <v>5</v>
      </c>
      <c r="D155" s="135" t="s">
        <v>720</v>
      </c>
      <c r="E155" s="135">
        <v>5</v>
      </c>
      <c r="F155" s="135">
        <v>300</v>
      </c>
      <c r="G155" s="135">
        <v>2</v>
      </c>
      <c r="H155" s="135">
        <v>2</v>
      </c>
      <c r="I155" s="135">
        <v>5</v>
      </c>
      <c r="J155" s="135">
        <v>5</v>
      </c>
      <c r="K155" s="136">
        <f t="shared" si="18"/>
        <v>600</v>
      </c>
      <c r="L155" s="136">
        <f t="shared" si="19"/>
        <v>600</v>
      </c>
      <c r="M155" s="136">
        <f t="shared" si="20"/>
        <v>1500</v>
      </c>
      <c r="N155" s="136">
        <f t="shared" si="21"/>
        <v>1500</v>
      </c>
      <c r="O155" s="136">
        <f t="shared" si="22"/>
        <v>120</v>
      </c>
      <c r="P155" s="136">
        <f t="shared" si="23"/>
        <v>120</v>
      </c>
      <c r="Q155" s="136">
        <f t="shared" si="24"/>
        <v>300</v>
      </c>
      <c r="R155" s="136">
        <f t="shared" si="25"/>
        <v>300</v>
      </c>
    </row>
    <row r="156" spans="2:18" ht="15" customHeight="1" x14ac:dyDescent="0.25">
      <c r="B156" s="136" t="s">
        <v>821</v>
      </c>
      <c r="C156" s="135">
        <v>11</v>
      </c>
      <c r="D156" s="135" t="s">
        <v>720</v>
      </c>
      <c r="E156" s="135">
        <v>7</v>
      </c>
      <c r="F156" s="135">
        <v>500</v>
      </c>
      <c r="G156" s="135">
        <v>0</v>
      </c>
      <c r="H156" s="135">
        <v>0</v>
      </c>
      <c r="I156" s="135">
        <v>1</v>
      </c>
      <c r="J156" s="135">
        <v>1</v>
      </c>
      <c r="K156" s="136">
        <f t="shared" si="18"/>
        <v>0</v>
      </c>
      <c r="L156" s="136">
        <f t="shared" si="19"/>
        <v>0</v>
      </c>
      <c r="M156" s="136">
        <f t="shared" si="20"/>
        <v>500</v>
      </c>
      <c r="N156" s="136">
        <f t="shared" si="21"/>
        <v>500</v>
      </c>
      <c r="O156" s="136">
        <f t="shared" si="22"/>
        <v>0</v>
      </c>
      <c r="P156" s="136">
        <f t="shared" si="23"/>
        <v>0</v>
      </c>
      <c r="Q156" s="136">
        <f t="shared" si="24"/>
        <v>71.428571428571431</v>
      </c>
      <c r="R156" s="136">
        <f t="shared" si="25"/>
        <v>71.428571428571431</v>
      </c>
    </row>
    <row r="157" spans="2:18" ht="15" customHeight="1" x14ac:dyDescent="0.25">
      <c r="B157" s="136" t="s">
        <v>822</v>
      </c>
      <c r="C157" s="135">
        <v>8</v>
      </c>
      <c r="D157" s="135" t="s">
        <v>718</v>
      </c>
      <c r="E157" s="135"/>
      <c r="F157" s="135">
        <v>300</v>
      </c>
      <c r="G157" s="135">
        <v>0</v>
      </c>
      <c r="H157" s="135">
        <v>0</v>
      </c>
      <c r="I157" s="135">
        <v>0</v>
      </c>
      <c r="J157" s="135">
        <v>1</v>
      </c>
      <c r="K157" s="136">
        <f t="shared" si="18"/>
        <v>0</v>
      </c>
      <c r="L157" s="136">
        <f t="shared" si="19"/>
        <v>0</v>
      </c>
      <c r="M157" s="136">
        <f t="shared" si="20"/>
        <v>0</v>
      </c>
      <c r="N157" s="136">
        <f t="shared" si="21"/>
        <v>300</v>
      </c>
      <c r="O157" s="136">
        <f t="shared" si="22"/>
        <v>0</v>
      </c>
      <c r="P157" s="136">
        <f t="shared" si="23"/>
        <v>0</v>
      </c>
      <c r="Q157" s="136">
        <f t="shared" si="24"/>
        <v>0</v>
      </c>
      <c r="R157" s="136">
        <f t="shared" si="25"/>
        <v>0</v>
      </c>
    </row>
    <row r="158" spans="2:18" ht="15" customHeight="1" x14ac:dyDescent="0.25">
      <c r="B158" s="136" t="s">
        <v>823</v>
      </c>
      <c r="C158" s="135">
        <v>5</v>
      </c>
      <c r="D158" s="135" t="s">
        <v>720</v>
      </c>
      <c r="E158" s="135">
        <v>7</v>
      </c>
      <c r="F158" s="135">
        <v>8000</v>
      </c>
      <c r="G158" s="135">
        <v>2</v>
      </c>
      <c r="H158" s="135">
        <v>2</v>
      </c>
      <c r="I158" s="135">
        <v>4</v>
      </c>
      <c r="J158" s="135">
        <v>4</v>
      </c>
      <c r="K158" s="136">
        <f t="shared" si="18"/>
        <v>16000</v>
      </c>
      <c r="L158" s="136">
        <f t="shared" si="19"/>
        <v>16000</v>
      </c>
      <c r="M158" s="136">
        <f t="shared" si="20"/>
        <v>32000</v>
      </c>
      <c r="N158" s="136">
        <f t="shared" si="21"/>
        <v>32000</v>
      </c>
      <c r="O158" s="136">
        <f t="shared" si="22"/>
        <v>2285.7142857142858</v>
      </c>
      <c r="P158" s="136">
        <f t="shared" si="23"/>
        <v>2285.7142857142858</v>
      </c>
      <c r="Q158" s="136">
        <f t="shared" si="24"/>
        <v>4571.4285714285716</v>
      </c>
      <c r="R158" s="136">
        <f t="shared" si="25"/>
        <v>4571.4285714285716</v>
      </c>
    </row>
    <row r="159" spans="2:18" ht="15" customHeight="1" x14ac:dyDescent="0.25">
      <c r="B159" s="136" t="s">
        <v>824</v>
      </c>
      <c r="C159" s="135">
        <v>4</v>
      </c>
      <c r="D159" s="135" t="s">
        <v>720</v>
      </c>
      <c r="E159" s="135">
        <v>9</v>
      </c>
      <c r="F159" s="135">
        <v>600000</v>
      </c>
      <c r="G159" s="135">
        <v>0</v>
      </c>
      <c r="H159" s="135">
        <v>0</v>
      </c>
      <c r="I159" s="135">
        <v>1</v>
      </c>
      <c r="J159" s="135">
        <v>1</v>
      </c>
      <c r="K159" s="136">
        <f t="shared" si="18"/>
        <v>0</v>
      </c>
      <c r="L159" s="136">
        <f t="shared" si="19"/>
        <v>0</v>
      </c>
      <c r="M159" s="136">
        <f t="shared" si="20"/>
        <v>600000</v>
      </c>
      <c r="N159" s="136">
        <f t="shared" si="21"/>
        <v>600000</v>
      </c>
      <c r="O159" s="136">
        <f t="shared" si="22"/>
        <v>0</v>
      </c>
      <c r="P159" s="136">
        <f t="shared" si="23"/>
        <v>0</v>
      </c>
      <c r="Q159" s="136">
        <f t="shared" si="24"/>
        <v>66666.666666666672</v>
      </c>
      <c r="R159" s="136">
        <f t="shared" si="25"/>
        <v>66666.666666666672</v>
      </c>
    </row>
    <row r="160" spans="2:18" ht="15" customHeight="1" x14ac:dyDescent="0.25">
      <c r="B160" s="136" t="s">
        <v>651</v>
      </c>
      <c r="C160" s="135">
        <v>13</v>
      </c>
      <c r="D160" s="135" t="s">
        <v>720</v>
      </c>
      <c r="E160" s="135">
        <v>9</v>
      </c>
      <c r="F160" s="135">
        <v>6000</v>
      </c>
      <c r="G160" s="135">
        <v>6</v>
      </c>
      <c r="H160" s="135">
        <v>6</v>
      </c>
      <c r="I160" s="135">
        <v>8</v>
      </c>
      <c r="J160" s="135">
        <v>8</v>
      </c>
      <c r="K160" s="136">
        <f t="shared" si="18"/>
        <v>36000</v>
      </c>
      <c r="L160" s="136">
        <f t="shared" si="19"/>
        <v>36000</v>
      </c>
      <c r="M160" s="136">
        <f t="shared" si="20"/>
        <v>48000</v>
      </c>
      <c r="N160" s="136">
        <f t="shared" si="21"/>
        <v>48000</v>
      </c>
      <c r="O160" s="136">
        <f t="shared" si="22"/>
        <v>4000</v>
      </c>
      <c r="P160" s="136">
        <f t="shared" si="23"/>
        <v>4000</v>
      </c>
      <c r="Q160" s="136">
        <f t="shared" si="24"/>
        <v>5333.333333333333</v>
      </c>
      <c r="R160" s="136">
        <f t="shared" si="25"/>
        <v>5333.333333333333</v>
      </c>
    </row>
    <row r="161" spans="2:18" ht="15" customHeight="1" x14ac:dyDescent="0.25">
      <c r="B161" s="138" t="s">
        <v>825</v>
      </c>
      <c r="C161" s="139">
        <v>2</v>
      </c>
      <c r="D161" s="139" t="s">
        <v>720</v>
      </c>
      <c r="E161" s="139">
        <v>9</v>
      </c>
      <c r="F161" s="139">
        <v>100000</v>
      </c>
      <c r="G161" s="139">
        <v>1</v>
      </c>
      <c r="H161" s="139">
        <v>1</v>
      </c>
      <c r="I161" s="139">
        <v>3</v>
      </c>
      <c r="J161" s="139">
        <v>3</v>
      </c>
      <c r="K161" s="136">
        <f t="shared" si="18"/>
        <v>100000</v>
      </c>
      <c r="L161" s="136">
        <f t="shared" si="19"/>
        <v>100000</v>
      </c>
      <c r="M161" s="136">
        <f t="shared" si="20"/>
        <v>300000</v>
      </c>
      <c r="N161" s="136">
        <f t="shared" si="21"/>
        <v>300000</v>
      </c>
      <c r="O161" s="136">
        <f t="shared" si="22"/>
        <v>11111.111111111111</v>
      </c>
      <c r="P161" s="136">
        <f t="shared" si="23"/>
        <v>11111.111111111111</v>
      </c>
      <c r="Q161" s="136">
        <f t="shared" si="24"/>
        <v>33333.333333333336</v>
      </c>
      <c r="R161" s="136">
        <f t="shared" si="25"/>
        <v>33333.333333333336</v>
      </c>
    </row>
    <row r="162" spans="2:18" ht="15" customHeight="1" x14ac:dyDescent="0.25">
      <c r="B162" s="138" t="s">
        <v>596</v>
      </c>
      <c r="C162" s="139">
        <v>2</v>
      </c>
      <c r="D162" s="139" t="s">
        <v>720</v>
      </c>
      <c r="E162" s="139">
        <v>5</v>
      </c>
      <c r="F162" s="139">
        <v>550</v>
      </c>
      <c r="G162" s="139">
        <v>2</v>
      </c>
      <c r="H162" s="139">
        <v>2</v>
      </c>
      <c r="I162" s="139">
        <v>7</v>
      </c>
      <c r="J162" s="139">
        <v>7</v>
      </c>
      <c r="K162" s="136">
        <f t="shared" si="18"/>
        <v>1100</v>
      </c>
      <c r="L162" s="136">
        <f t="shared" si="19"/>
        <v>1100</v>
      </c>
      <c r="M162" s="136">
        <f t="shared" si="20"/>
        <v>3850</v>
      </c>
      <c r="N162" s="136">
        <f t="shared" si="21"/>
        <v>3850</v>
      </c>
      <c r="O162" s="136">
        <f t="shared" si="22"/>
        <v>220</v>
      </c>
      <c r="P162" s="136">
        <f t="shared" si="23"/>
        <v>220</v>
      </c>
      <c r="Q162" s="136">
        <f t="shared" si="24"/>
        <v>770</v>
      </c>
      <c r="R162" s="136">
        <f t="shared" si="25"/>
        <v>770</v>
      </c>
    </row>
    <row r="163" spans="2:18" ht="15" customHeight="1" x14ac:dyDescent="0.25">
      <c r="B163" s="136" t="s">
        <v>630</v>
      </c>
      <c r="C163" s="135">
        <v>10</v>
      </c>
      <c r="D163" s="135" t="s">
        <v>718</v>
      </c>
      <c r="E163" s="135"/>
      <c r="F163" s="135">
        <v>500</v>
      </c>
      <c r="G163" s="135">
        <v>1</v>
      </c>
      <c r="H163" s="135">
        <v>1</v>
      </c>
      <c r="I163" s="135">
        <v>2</v>
      </c>
      <c r="J163" s="135">
        <v>2</v>
      </c>
      <c r="K163" s="136">
        <f t="shared" si="18"/>
        <v>500</v>
      </c>
      <c r="L163" s="136">
        <f t="shared" si="19"/>
        <v>500</v>
      </c>
      <c r="M163" s="136">
        <f t="shared" si="20"/>
        <v>1000</v>
      </c>
      <c r="N163" s="136">
        <f t="shared" si="21"/>
        <v>1000</v>
      </c>
      <c r="O163" s="136">
        <f t="shared" si="22"/>
        <v>0</v>
      </c>
      <c r="P163" s="136">
        <f t="shared" si="23"/>
        <v>0</v>
      </c>
      <c r="Q163" s="136">
        <f t="shared" si="24"/>
        <v>0</v>
      </c>
      <c r="R163" s="136">
        <f t="shared" si="25"/>
        <v>0</v>
      </c>
    </row>
    <row r="164" spans="2:18" ht="15" customHeight="1" x14ac:dyDescent="0.25">
      <c r="B164" s="138" t="s">
        <v>613</v>
      </c>
      <c r="C164" s="139">
        <v>2</v>
      </c>
      <c r="D164" s="139" t="s">
        <v>720</v>
      </c>
      <c r="E164" s="139">
        <v>9</v>
      </c>
      <c r="F164" s="139">
        <v>10000</v>
      </c>
      <c r="G164" s="139">
        <v>1</v>
      </c>
      <c r="H164" s="139">
        <v>1</v>
      </c>
      <c r="I164" s="139">
        <v>2</v>
      </c>
      <c r="J164" s="139">
        <v>2</v>
      </c>
      <c r="K164" s="136">
        <f t="shared" si="18"/>
        <v>10000</v>
      </c>
      <c r="L164" s="136">
        <f t="shared" si="19"/>
        <v>10000</v>
      </c>
      <c r="M164" s="136">
        <f t="shared" si="20"/>
        <v>20000</v>
      </c>
      <c r="N164" s="136">
        <f t="shared" si="21"/>
        <v>20000</v>
      </c>
      <c r="O164" s="136">
        <f t="shared" si="22"/>
        <v>1111.1111111111111</v>
      </c>
      <c r="P164" s="136">
        <f t="shared" si="23"/>
        <v>1111.1111111111111</v>
      </c>
      <c r="Q164" s="136">
        <f t="shared" si="24"/>
        <v>2222.2222222222222</v>
      </c>
      <c r="R164" s="136">
        <f t="shared" si="25"/>
        <v>2222.2222222222222</v>
      </c>
    </row>
    <row r="165" spans="2:18" ht="15" customHeight="1" x14ac:dyDescent="0.25">
      <c r="B165" s="140" t="s">
        <v>826</v>
      </c>
      <c r="C165" s="139">
        <v>2</v>
      </c>
      <c r="D165" s="139" t="s">
        <v>720</v>
      </c>
      <c r="E165" s="139">
        <v>7</v>
      </c>
      <c r="F165" s="139">
        <v>5000</v>
      </c>
      <c r="G165" s="139">
        <v>2</v>
      </c>
      <c r="H165" s="139">
        <v>2</v>
      </c>
      <c r="I165" s="139">
        <v>2</v>
      </c>
      <c r="J165" s="139">
        <v>2</v>
      </c>
      <c r="K165" s="136">
        <f t="shared" si="18"/>
        <v>10000</v>
      </c>
      <c r="L165" s="136">
        <f t="shared" si="19"/>
        <v>10000</v>
      </c>
      <c r="M165" s="136">
        <f t="shared" si="20"/>
        <v>10000</v>
      </c>
      <c r="N165" s="136">
        <f t="shared" si="21"/>
        <v>10000</v>
      </c>
      <c r="O165" s="136">
        <f t="shared" si="22"/>
        <v>1428.5714285714287</v>
      </c>
      <c r="P165" s="136">
        <f t="shared" si="23"/>
        <v>1428.5714285714287</v>
      </c>
      <c r="Q165" s="136">
        <f t="shared" si="24"/>
        <v>1428.5714285714287</v>
      </c>
      <c r="R165" s="136">
        <f t="shared" si="25"/>
        <v>1428.5714285714287</v>
      </c>
    </row>
    <row r="166" spans="2:18" ht="15" customHeight="1" x14ac:dyDescent="0.25">
      <c r="B166" s="136" t="s">
        <v>827</v>
      </c>
      <c r="C166" s="135">
        <v>10</v>
      </c>
      <c r="D166" s="135" t="s">
        <v>720</v>
      </c>
      <c r="E166" s="135">
        <v>5</v>
      </c>
      <c r="F166" s="135">
        <v>500</v>
      </c>
      <c r="G166" s="135">
        <v>1</v>
      </c>
      <c r="H166" s="135">
        <v>1</v>
      </c>
      <c r="I166" s="135">
        <v>1</v>
      </c>
      <c r="J166" s="135">
        <v>1</v>
      </c>
      <c r="K166" s="136">
        <f t="shared" si="18"/>
        <v>500</v>
      </c>
      <c r="L166" s="136">
        <f t="shared" si="19"/>
        <v>500</v>
      </c>
      <c r="M166" s="136">
        <f t="shared" si="20"/>
        <v>500</v>
      </c>
      <c r="N166" s="136">
        <f t="shared" si="21"/>
        <v>500</v>
      </c>
      <c r="O166" s="136">
        <f t="shared" si="22"/>
        <v>100</v>
      </c>
      <c r="P166" s="136">
        <f t="shared" si="23"/>
        <v>100</v>
      </c>
      <c r="Q166" s="136">
        <f t="shared" si="24"/>
        <v>100</v>
      </c>
      <c r="R166" s="136">
        <f t="shared" si="25"/>
        <v>100</v>
      </c>
    </row>
    <row r="167" spans="2:18" ht="15" customHeight="1" x14ac:dyDescent="0.25">
      <c r="B167" s="138" t="s">
        <v>603</v>
      </c>
      <c r="C167" s="139">
        <v>2</v>
      </c>
      <c r="D167" s="139" t="s">
        <v>718</v>
      </c>
      <c r="E167" s="139"/>
      <c r="F167" s="139">
        <v>300</v>
      </c>
      <c r="G167" s="139">
        <v>2</v>
      </c>
      <c r="H167" s="139">
        <v>2</v>
      </c>
      <c r="I167" s="139">
        <v>3</v>
      </c>
      <c r="J167" s="139">
        <v>3</v>
      </c>
      <c r="K167" s="136">
        <f t="shared" si="18"/>
        <v>600</v>
      </c>
      <c r="L167" s="136">
        <f t="shared" si="19"/>
        <v>600</v>
      </c>
      <c r="M167" s="136">
        <f t="shared" si="20"/>
        <v>900</v>
      </c>
      <c r="N167" s="136">
        <f t="shared" si="21"/>
        <v>900</v>
      </c>
      <c r="O167" s="136">
        <f t="shared" si="22"/>
        <v>0</v>
      </c>
      <c r="P167" s="136">
        <f t="shared" si="23"/>
        <v>0</v>
      </c>
      <c r="Q167" s="136">
        <f t="shared" si="24"/>
        <v>0</v>
      </c>
      <c r="R167" s="136">
        <f t="shared" si="25"/>
        <v>0</v>
      </c>
    </row>
    <row r="168" spans="2:18" ht="15" customHeight="1" x14ac:dyDescent="0.25">
      <c r="B168" s="136" t="s">
        <v>828</v>
      </c>
      <c r="C168" s="135">
        <v>10</v>
      </c>
      <c r="D168" s="135" t="s">
        <v>718</v>
      </c>
      <c r="E168" s="135"/>
      <c r="F168" s="135">
        <v>500</v>
      </c>
      <c r="G168" s="135">
        <v>2</v>
      </c>
      <c r="H168" s="135">
        <v>2</v>
      </c>
      <c r="I168" s="135">
        <v>4</v>
      </c>
      <c r="J168" s="135">
        <v>4</v>
      </c>
      <c r="K168" s="136">
        <f t="shared" si="18"/>
        <v>1000</v>
      </c>
      <c r="L168" s="136">
        <f t="shared" si="19"/>
        <v>1000</v>
      </c>
      <c r="M168" s="136">
        <f t="shared" si="20"/>
        <v>2000</v>
      </c>
      <c r="N168" s="136">
        <f t="shared" si="21"/>
        <v>2000</v>
      </c>
      <c r="O168" s="136">
        <f t="shared" si="22"/>
        <v>0</v>
      </c>
      <c r="P168" s="136">
        <f t="shared" si="23"/>
        <v>0</v>
      </c>
      <c r="Q168" s="136">
        <f t="shared" si="24"/>
        <v>0</v>
      </c>
      <c r="R168" s="136">
        <f t="shared" si="25"/>
        <v>0</v>
      </c>
    </row>
    <row r="169" spans="2:18" ht="15" customHeight="1" x14ac:dyDescent="0.25">
      <c r="B169" s="136" t="s">
        <v>829</v>
      </c>
      <c r="C169" s="135">
        <v>10</v>
      </c>
      <c r="D169" s="135" t="s">
        <v>718</v>
      </c>
      <c r="E169" s="135"/>
      <c r="F169" s="135">
        <v>50</v>
      </c>
      <c r="G169" s="135">
        <v>10</v>
      </c>
      <c r="H169" s="135">
        <v>10</v>
      </c>
      <c r="I169" s="135">
        <v>20</v>
      </c>
      <c r="J169" s="135">
        <v>20</v>
      </c>
      <c r="K169" s="136">
        <f t="shared" si="18"/>
        <v>500</v>
      </c>
      <c r="L169" s="136">
        <f t="shared" si="19"/>
        <v>500</v>
      </c>
      <c r="M169" s="136">
        <f t="shared" si="20"/>
        <v>1000</v>
      </c>
      <c r="N169" s="136">
        <f t="shared" si="21"/>
        <v>1000</v>
      </c>
      <c r="O169" s="136">
        <f t="shared" si="22"/>
        <v>0</v>
      </c>
      <c r="P169" s="136">
        <f t="shared" si="23"/>
        <v>0</v>
      </c>
      <c r="Q169" s="136">
        <f t="shared" si="24"/>
        <v>0</v>
      </c>
      <c r="R169" s="136">
        <f t="shared" si="25"/>
        <v>0</v>
      </c>
    </row>
    <row r="170" spans="2:18" ht="15" customHeight="1" x14ac:dyDescent="0.25">
      <c r="B170" s="138" t="s">
        <v>830</v>
      </c>
      <c r="C170" s="139">
        <v>2</v>
      </c>
      <c r="D170" s="139" t="s">
        <v>720</v>
      </c>
      <c r="E170" s="139">
        <v>3</v>
      </c>
      <c r="F170" s="139">
        <v>1000</v>
      </c>
      <c r="G170" s="135">
        <v>2</v>
      </c>
      <c r="H170" s="135">
        <v>2</v>
      </c>
      <c r="I170" s="135">
        <v>2</v>
      </c>
      <c r="J170" s="135">
        <v>2</v>
      </c>
      <c r="K170" s="136">
        <f t="shared" si="18"/>
        <v>2000</v>
      </c>
      <c r="L170" s="136">
        <f t="shared" si="19"/>
        <v>2000</v>
      </c>
      <c r="M170" s="136">
        <f t="shared" si="20"/>
        <v>2000</v>
      </c>
      <c r="N170" s="136">
        <f t="shared" si="21"/>
        <v>2000</v>
      </c>
      <c r="O170" s="136">
        <f t="shared" si="22"/>
        <v>666.66666666666663</v>
      </c>
      <c r="P170" s="136">
        <f t="shared" si="23"/>
        <v>666.66666666666663</v>
      </c>
      <c r="Q170" s="136">
        <f t="shared" si="24"/>
        <v>666.66666666666663</v>
      </c>
      <c r="R170" s="136">
        <f t="shared" si="25"/>
        <v>666.66666666666663</v>
      </c>
    </row>
    <row r="171" spans="2:18" ht="15" customHeight="1" x14ac:dyDescent="0.25">
      <c r="B171" s="138" t="s">
        <v>614</v>
      </c>
      <c r="C171" s="139">
        <v>2</v>
      </c>
      <c r="D171" s="139" t="s">
        <v>720</v>
      </c>
      <c r="E171" s="139">
        <v>3</v>
      </c>
      <c r="F171" s="139">
        <v>1000</v>
      </c>
      <c r="G171" s="139">
        <v>2</v>
      </c>
      <c r="H171" s="139">
        <v>2</v>
      </c>
      <c r="I171" s="139">
        <v>6</v>
      </c>
      <c r="J171" s="139">
        <v>8</v>
      </c>
      <c r="K171" s="136">
        <f t="shared" si="18"/>
        <v>2000</v>
      </c>
      <c r="L171" s="136">
        <f t="shared" si="19"/>
        <v>2000</v>
      </c>
      <c r="M171" s="136">
        <f t="shared" si="20"/>
        <v>6000</v>
      </c>
      <c r="N171" s="136">
        <f t="shared" si="21"/>
        <v>8000</v>
      </c>
      <c r="O171" s="136">
        <f t="shared" si="22"/>
        <v>666.66666666666663</v>
      </c>
      <c r="P171" s="136">
        <f t="shared" si="23"/>
        <v>666.66666666666663</v>
      </c>
      <c r="Q171" s="136">
        <f t="shared" si="24"/>
        <v>2000</v>
      </c>
      <c r="R171" s="136">
        <f t="shared" si="25"/>
        <v>2666.6666666666665</v>
      </c>
    </row>
    <row r="172" spans="2:18" ht="15" customHeight="1" x14ac:dyDescent="0.25">
      <c r="B172" s="136" t="s">
        <v>831</v>
      </c>
      <c r="C172" s="135">
        <v>5</v>
      </c>
      <c r="D172" s="135" t="s">
        <v>718</v>
      </c>
      <c r="E172" s="135"/>
      <c r="F172" s="135">
        <v>500</v>
      </c>
      <c r="G172" s="135">
        <v>4</v>
      </c>
      <c r="H172" s="135">
        <v>4</v>
      </c>
      <c r="I172" s="135">
        <v>8</v>
      </c>
      <c r="J172" s="135">
        <v>8</v>
      </c>
      <c r="K172" s="136">
        <f t="shared" si="18"/>
        <v>2000</v>
      </c>
      <c r="L172" s="136">
        <f t="shared" si="19"/>
        <v>2000</v>
      </c>
      <c r="M172" s="136">
        <f t="shared" si="20"/>
        <v>4000</v>
      </c>
      <c r="N172" s="136">
        <f t="shared" si="21"/>
        <v>4000</v>
      </c>
      <c r="O172" s="136">
        <f t="shared" si="22"/>
        <v>0</v>
      </c>
      <c r="P172" s="136">
        <f t="shared" si="23"/>
        <v>0</v>
      </c>
      <c r="Q172" s="136">
        <f t="shared" si="24"/>
        <v>0</v>
      </c>
      <c r="R172" s="136">
        <f t="shared" si="25"/>
        <v>0</v>
      </c>
    </row>
    <row r="173" spans="2:18" ht="15" customHeight="1" x14ac:dyDescent="0.25">
      <c r="B173" s="136" t="s">
        <v>646</v>
      </c>
      <c r="C173" s="135">
        <v>11</v>
      </c>
      <c r="D173" s="135" t="s">
        <v>720</v>
      </c>
      <c r="E173" s="135">
        <v>10</v>
      </c>
      <c r="F173" s="135">
        <v>18000</v>
      </c>
      <c r="G173" s="135">
        <v>0</v>
      </c>
      <c r="H173" s="135">
        <v>0</v>
      </c>
      <c r="I173" s="135">
        <v>1</v>
      </c>
      <c r="J173" s="135">
        <v>1</v>
      </c>
      <c r="K173" s="136">
        <f t="shared" si="18"/>
        <v>0</v>
      </c>
      <c r="L173" s="136">
        <f t="shared" si="19"/>
        <v>0</v>
      </c>
      <c r="M173" s="136">
        <f t="shared" si="20"/>
        <v>18000</v>
      </c>
      <c r="N173" s="136">
        <f t="shared" si="21"/>
        <v>18000</v>
      </c>
      <c r="O173" s="136">
        <f t="shared" si="22"/>
        <v>0</v>
      </c>
      <c r="P173" s="136">
        <f t="shared" si="23"/>
        <v>0</v>
      </c>
      <c r="Q173" s="136">
        <f t="shared" si="24"/>
        <v>1800</v>
      </c>
      <c r="R173" s="136">
        <f t="shared" si="25"/>
        <v>1800</v>
      </c>
    </row>
    <row r="174" spans="2:18" ht="15" customHeight="1" x14ac:dyDescent="0.25">
      <c r="B174" s="138" t="s">
        <v>604</v>
      </c>
      <c r="C174" s="139">
        <v>2</v>
      </c>
      <c r="D174" s="139" t="s">
        <v>720</v>
      </c>
      <c r="E174" s="139">
        <v>5</v>
      </c>
      <c r="F174" s="139">
        <v>100</v>
      </c>
      <c r="G174" s="139">
        <v>2</v>
      </c>
      <c r="H174" s="139">
        <v>2</v>
      </c>
      <c r="I174" s="139">
        <v>3</v>
      </c>
      <c r="J174" s="139">
        <v>3</v>
      </c>
      <c r="K174" s="136">
        <f t="shared" si="18"/>
        <v>200</v>
      </c>
      <c r="L174" s="136">
        <f t="shared" si="19"/>
        <v>200</v>
      </c>
      <c r="M174" s="136">
        <f t="shared" si="20"/>
        <v>300</v>
      </c>
      <c r="N174" s="136">
        <f t="shared" si="21"/>
        <v>300</v>
      </c>
      <c r="O174" s="136">
        <f t="shared" si="22"/>
        <v>40</v>
      </c>
      <c r="P174" s="136">
        <f t="shared" si="23"/>
        <v>40</v>
      </c>
      <c r="Q174" s="136">
        <f t="shared" si="24"/>
        <v>60</v>
      </c>
      <c r="R174" s="136">
        <f t="shared" si="25"/>
        <v>60</v>
      </c>
    </row>
    <row r="175" spans="2:18" ht="15" customHeight="1" x14ac:dyDescent="0.25">
      <c r="B175" s="136" t="s">
        <v>639</v>
      </c>
      <c r="C175" s="135">
        <v>12</v>
      </c>
      <c r="D175" s="135" t="s">
        <v>720</v>
      </c>
      <c r="E175" s="135">
        <v>10</v>
      </c>
      <c r="F175" s="135">
        <v>10000</v>
      </c>
      <c r="G175" s="135">
        <v>0</v>
      </c>
      <c r="H175" s="135">
        <v>0</v>
      </c>
      <c r="I175" s="135">
        <v>1</v>
      </c>
      <c r="J175" s="135">
        <v>1</v>
      </c>
      <c r="K175" s="136">
        <f t="shared" si="18"/>
        <v>0</v>
      </c>
      <c r="L175" s="136">
        <f t="shared" si="19"/>
        <v>0</v>
      </c>
      <c r="M175" s="136">
        <f t="shared" si="20"/>
        <v>10000</v>
      </c>
      <c r="N175" s="136">
        <f t="shared" si="21"/>
        <v>10000</v>
      </c>
      <c r="O175" s="136">
        <f t="shared" si="22"/>
        <v>0</v>
      </c>
      <c r="P175" s="136">
        <f t="shared" si="23"/>
        <v>0</v>
      </c>
      <c r="Q175" s="136">
        <f t="shared" si="24"/>
        <v>1000</v>
      </c>
      <c r="R175" s="136">
        <f t="shared" si="25"/>
        <v>1000</v>
      </c>
    </row>
    <row r="176" spans="2:18" ht="15" customHeight="1" x14ac:dyDescent="0.25">
      <c r="B176" s="136" t="s">
        <v>832</v>
      </c>
      <c r="C176" s="135">
        <v>5</v>
      </c>
      <c r="D176" s="135" t="s">
        <v>720</v>
      </c>
      <c r="E176" s="135">
        <v>5</v>
      </c>
      <c r="F176" s="135">
        <v>300</v>
      </c>
      <c r="G176" s="135">
        <v>0</v>
      </c>
      <c r="H176" s="135">
        <v>0</v>
      </c>
      <c r="I176" s="135">
        <v>4</v>
      </c>
      <c r="J176" s="135">
        <v>4</v>
      </c>
      <c r="K176" s="136">
        <f t="shared" si="18"/>
        <v>0</v>
      </c>
      <c r="L176" s="136">
        <f t="shared" si="19"/>
        <v>0</v>
      </c>
      <c r="M176" s="136">
        <f t="shared" si="20"/>
        <v>1200</v>
      </c>
      <c r="N176" s="136">
        <f t="shared" si="21"/>
        <v>1200</v>
      </c>
      <c r="O176" s="136">
        <f t="shared" si="22"/>
        <v>0</v>
      </c>
      <c r="P176" s="136">
        <f t="shared" si="23"/>
        <v>0</v>
      </c>
      <c r="Q176" s="136">
        <f t="shared" si="24"/>
        <v>240</v>
      </c>
      <c r="R176" s="136">
        <f t="shared" si="25"/>
        <v>240</v>
      </c>
    </row>
    <row r="177" spans="2:18" ht="15" customHeight="1" x14ac:dyDescent="0.25">
      <c r="B177" s="138" t="s">
        <v>833</v>
      </c>
      <c r="C177" s="139">
        <v>2</v>
      </c>
      <c r="D177" s="139" t="s">
        <v>720</v>
      </c>
      <c r="E177" s="139">
        <v>5</v>
      </c>
      <c r="F177" s="139">
        <v>1600</v>
      </c>
      <c r="G177" s="139">
        <v>2</v>
      </c>
      <c r="H177" s="139">
        <v>2</v>
      </c>
      <c r="I177" s="141">
        <v>2</v>
      </c>
      <c r="J177" s="141">
        <v>2</v>
      </c>
      <c r="K177" s="136">
        <f t="shared" si="18"/>
        <v>3200</v>
      </c>
      <c r="L177" s="136">
        <f t="shared" si="19"/>
        <v>3200</v>
      </c>
      <c r="M177" s="136">
        <f t="shared" si="20"/>
        <v>3200</v>
      </c>
      <c r="N177" s="136">
        <f t="shared" si="21"/>
        <v>3200</v>
      </c>
      <c r="O177" s="136">
        <f t="shared" si="22"/>
        <v>640</v>
      </c>
      <c r="P177" s="136">
        <f t="shared" si="23"/>
        <v>640</v>
      </c>
      <c r="Q177" s="136">
        <f t="shared" si="24"/>
        <v>640</v>
      </c>
      <c r="R177" s="136">
        <f t="shared" si="25"/>
        <v>640</v>
      </c>
    </row>
    <row r="178" spans="2:18" ht="15" customHeight="1" x14ac:dyDescent="0.25">
      <c r="B178" s="136" t="s">
        <v>834</v>
      </c>
      <c r="C178" s="135">
        <v>5</v>
      </c>
      <c r="D178" s="135" t="s">
        <v>720</v>
      </c>
      <c r="E178" s="135">
        <v>8</v>
      </c>
      <c r="F178" s="135">
        <v>65000</v>
      </c>
      <c r="G178" s="135">
        <v>2</v>
      </c>
      <c r="H178" s="135">
        <v>2</v>
      </c>
      <c r="I178" s="135">
        <v>5</v>
      </c>
      <c r="J178" s="135">
        <v>5</v>
      </c>
      <c r="K178" s="136">
        <f t="shared" si="18"/>
        <v>130000</v>
      </c>
      <c r="L178" s="136">
        <f t="shared" si="19"/>
        <v>130000</v>
      </c>
      <c r="M178" s="136">
        <f t="shared" si="20"/>
        <v>325000</v>
      </c>
      <c r="N178" s="136">
        <f t="shared" si="21"/>
        <v>325000</v>
      </c>
      <c r="O178" s="136">
        <f t="shared" si="22"/>
        <v>16250</v>
      </c>
      <c r="P178" s="136">
        <f t="shared" si="23"/>
        <v>16250</v>
      </c>
      <c r="Q178" s="136">
        <f t="shared" si="24"/>
        <v>40625</v>
      </c>
      <c r="R178" s="136">
        <f t="shared" si="25"/>
        <v>40625</v>
      </c>
    </row>
    <row r="179" spans="2:18" ht="15" customHeight="1" x14ac:dyDescent="0.25">
      <c r="B179" s="136" t="s">
        <v>835</v>
      </c>
      <c r="C179" s="135">
        <v>6</v>
      </c>
      <c r="D179" s="135" t="s">
        <v>720</v>
      </c>
      <c r="E179" s="135">
        <v>13</v>
      </c>
      <c r="F179" s="135">
        <v>1800000</v>
      </c>
      <c r="G179" s="135">
        <v>0</v>
      </c>
      <c r="H179" s="135">
        <v>0</v>
      </c>
      <c r="I179" s="135">
        <v>0</v>
      </c>
      <c r="J179" s="135">
        <v>2</v>
      </c>
      <c r="K179" s="136">
        <f t="shared" si="18"/>
        <v>0</v>
      </c>
      <c r="L179" s="136">
        <f t="shared" si="19"/>
        <v>0</v>
      </c>
      <c r="M179" s="136">
        <f t="shared" si="20"/>
        <v>0</v>
      </c>
      <c r="N179" s="136">
        <f t="shared" si="21"/>
        <v>3600000</v>
      </c>
      <c r="O179" s="136">
        <f t="shared" si="22"/>
        <v>0</v>
      </c>
      <c r="P179" s="136">
        <f t="shared" si="23"/>
        <v>0</v>
      </c>
      <c r="Q179" s="136">
        <f t="shared" si="24"/>
        <v>0</v>
      </c>
      <c r="R179" s="136">
        <f t="shared" si="25"/>
        <v>276923.07692307694</v>
      </c>
    </row>
    <row r="180" spans="2:18" ht="15" customHeight="1" x14ac:dyDescent="0.25">
      <c r="B180" s="136" t="s">
        <v>836</v>
      </c>
      <c r="C180" s="135">
        <v>10</v>
      </c>
      <c r="D180" s="135" t="s">
        <v>720</v>
      </c>
      <c r="E180" s="135">
        <v>5</v>
      </c>
      <c r="F180" s="135">
        <v>2000</v>
      </c>
      <c r="G180" s="135">
        <v>1</v>
      </c>
      <c r="H180" s="135">
        <v>1</v>
      </c>
      <c r="I180" s="135">
        <v>1</v>
      </c>
      <c r="J180" s="135">
        <v>1</v>
      </c>
      <c r="K180" s="136">
        <f t="shared" si="18"/>
        <v>2000</v>
      </c>
      <c r="L180" s="136">
        <f t="shared" si="19"/>
        <v>2000</v>
      </c>
      <c r="M180" s="136">
        <f t="shared" si="20"/>
        <v>2000</v>
      </c>
      <c r="N180" s="136">
        <f t="shared" si="21"/>
        <v>2000</v>
      </c>
      <c r="O180" s="136">
        <f t="shared" si="22"/>
        <v>400</v>
      </c>
      <c r="P180" s="136">
        <f t="shared" si="23"/>
        <v>400</v>
      </c>
      <c r="Q180" s="136">
        <f t="shared" si="24"/>
        <v>400</v>
      </c>
      <c r="R180" s="136">
        <f t="shared" si="25"/>
        <v>400</v>
      </c>
    </row>
    <row r="181" spans="2:18" ht="15" customHeight="1" x14ac:dyDescent="0.25">
      <c r="B181" s="136" t="s">
        <v>837</v>
      </c>
      <c r="C181" s="135">
        <v>5</v>
      </c>
      <c r="D181" s="135" t="s">
        <v>720</v>
      </c>
      <c r="E181" s="135">
        <v>5</v>
      </c>
      <c r="F181" s="135">
        <v>1000</v>
      </c>
      <c r="G181" s="135">
        <v>1</v>
      </c>
      <c r="H181" s="135">
        <v>1</v>
      </c>
      <c r="I181" s="135">
        <v>2</v>
      </c>
      <c r="J181" s="135">
        <v>2</v>
      </c>
      <c r="K181" s="136">
        <f t="shared" si="18"/>
        <v>1000</v>
      </c>
      <c r="L181" s="136">
        <f t="shared" si="19"/>
        <v>1000</v>
      </c>
      <c r="M181" s="136">
        <f t="shared" si="20"/>
        <v>2000</v>
      </c>
      <c r="N181" s="136">
        <f t="shared" si="21"/>
        <v>2000</v>
      </c>
      <c r="O181" s="136">
        <f t="shared" si="22"/>
        <v>200</v>
      </c>
      <c r="P181" s="136">
        <f t="shared" si="23"/>
        <v>200</v>
      </c>
      <c r="Q181" s="136">
        <f t="shared" si="24"/>
        <v>400</v>
      </c>
      <c r="R181" s="136">
        <f t="shared" si="25"/>
        <v>400</v>
      </c>
    </row>
    <row r="182" spans="2:18" ht="15" customHeight="1" x14ac:dyDescent="0.25">
      <c r="B182" s="138" t="s">
        <v>838</v>
      </c>
      <c r="C182" s="139">
        <v>2</v>
      </c>
      <c r="D182" s="139" t="s">
        <v>720</v>
      </c>
      <c r="E182" s="139">
        <v>7</v>
      </c>
      <c r="F182" s="139">
        <v>8000</v>
      </c>
      <c r="G182" s="139">
        <v>0</v>
      </c>
      <c r="H182" s="139">
        <v>0</v>
      </c>
      <c r="I182" s="139">
        <v>2</v>
      </c>
      <c r="J182" s="139">
        <v>3</v>
      </c>
      <c r="K182" s="136">
        <f t="shared" si="18"/>
        <v>0</v>
      </c>
      <c r="L182" s="136">
        <f t="shared" si="19"/>
        <v>0</v>
      </c>
      <c r="M182" s="136">
        <f t="shared" si="20"/>
        <v>16000</v>
      </c>
      <c r="N182" s="136">
        <f t="shared" si="21"/>
        <v>24000</v>
      </c>
      <c r="O182" s="136">
        <f t="shared" si="22"/>
        <v>0</v>
      </c>
      <c r="P182" s="136">
        <f t="shared" si="23"/>
        <v>0</v>
      </c>
      <c r="Q182" s="136">
        <f t="shared" si="24"/>
        <v>2285.7142857142858</v>
      </c>
      <c r="R182" s="136">
        <f t="shared" si="25"/>
        <v>3428.5714285714284</v>
      </c>
    </row>
    <row r="183" spans="2:18" ht="15" customHeight="1" x14ac:dyDescent="0.25">
      <c r="B183" s="136" t="s">
        <v>839</v>
      </c>
      <c r="C183" s="135">
        <v>15</v>
      </c>
      <c r="D183" s="135" t="s">
        <v>720</v>
      </c>
      <c r="E183" s="135">
        <v>15</v>
      </c>
      <c r="F183" s="135">
        <v>1500000</v>
      </c>
      <c r="G183" s="135">
        <v>0</v>
      </c>
      <c r="H183" s="135">
        <v>0</v>
      </c>
      <c r="I183" s="135">
        <v>1</v>
      </c>
      <c r="J183" s="135">
        <v>1</v>
      </c>
      <c r="K183" s="136">
        <f t="shared" si="18"/>
        <v>0</v>
      </c>
      <c r="L183" s="136">
        <f t="shared" si="19"/>
        <v>0</v>
      </c>
      <c r="M183" s="136">
        <f t="shared" si="20"/>
        <v>1500000</v>
      </c>
      <c r="N183" s="136">
        <f t="shared" si="21"/>
        <v>1500000</v>
      </c>
      <c r="O183" s="136">
        <f t="shared" si="22"/>
        <v>0</v>
      </c>
      <c r="P183" s="136">
        <f t="shared" si="23"/>
        <v>0</v>
      </c>
      <c r="Q183" s="136">
        <f t="shared" si="24"/>
        <v>100000</v>
      </c>
      <c r="R183" s="136">
        <f t="shared" si="25"/>
        <v>100000</v>
      </c>
    </row>
    <row r="184" spans="2:18" ht="15" customHeight="1" x14ac:dyDescent="0.25">
      <c r="B184" s="136" t="s">
        <v>638</v>
      </c>
      <c r="C184" s="135">
        <v>12</v>
      </c>
      <c r="D184" s="135" t="s">
        <v>720</v>
      </c>
      <c r="E184" s="135">
        <v>5</v>
      </c>
      <c r="F184" s="135">
        <v>5000</v>
      </c>
      <c r="G184" s="135">
        <v>0</v>
      </c>
      <c r="H184" s="135">
        <v>0</v>
      </c>
      <c r="I184" s="135">
        <v>1</v>
      </c>
      <c r="J184" s="135">
        <v>1</v>
      </c>
      <c r="K184" s="136">
        <f t="shared" si="18"/>
        <v>0</v>
      </c>
      <c r="L184" s="136">
        <f t="shared" si="19"/>
        <v>0</v>
      </c>
      <c r="M184" s="136">
        <f t="shared" si="20"/>
        <v>5000</v>
      </c>
      <c r="N184" s="136">
        <f t="shared" si="21"/>
        <v>5000</v>
      </c>
      <c r="O184" s="136">
        <f t="shared" si="22"/>
        <v>0</v>
      </c>
      <c r="P184" s="136">
        <f t="shared" si="23"/>
        <v>0</v>
      </c>
      <c r="Q184" s="136">
        <f t="shared" si="24"/>
        <v>1000</v>
      </c>
      <c r="R184" s="136">
        <f t="shared" si="25"/>
        <v>1000</v>
      </c>
    </row>
    <row r="185" spans="2:18" ht="15" customHeight="1" x14ac:dyDescent="0.25"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</row>
    <row r="187" spans="2:18" ht="15" customHeight="1" x14ac:dyDescent="0.25">
      <c r="G187" s="255" t="s">
        <v>655</v>
      </c>
      <c r="H187" s="255"/>
      <c r="I187" s="255"/>
      <c r="J187" s="255"/>
      <c r="K187" s="144">
        <f>SUMIF($D$5:$D$184,"e",K5:K184)</f>
        <v>1600261</v>
      </c>
      <c r="L187" s="144">
        <f>SUMIF($D$5:$D$184,"e",L5:L184)</f>
        <v>5900661</v>
      </c>
      <c r="M187" s="144">
        <f t="shared" ref="M187:N187" si="26">SUMIF($D$5:$D$184,"e",M5:M184)</f>
        <v>10243761</v>
      </c>
      <c r="N187" s="144">
        <f t="shared" si="26"/>
        <v>23030311</v>
      </c>
    </row>
    <row r="188" spans="2:18" ht="15" customHeight="1" x14ac:dyDescent="0.25">
      <c r="G188" s="255" t="s">
        <v>148</v>
      </c>
      <c r="H188" s="255"/>
      <c r="I188" s="255"/>
      <c r="J188" s="255"/>
      <c r="K188" s="144">
        <f>SUMIF($D$5:$D$184,"s",K5:K184)</f>
        <v>60275</v>
      </c>
      <c r="L188" s="144">
        <f t="shared" ref="L188:N188" si="27">SUMIF($D$5:$D$184,"s",L5:L184)</f>
        <v>61775</v>
      </c>
      <c r="M188" s="144">
        <f t="shared" si="27"/>
        <v>295575</v>
      </c>
      <c r="N188" s="144">
        <f t="shared" si="27"/>
        <v>302675</v>
      </c>
    </row>
    <row r="189" spans="2:18" ht="15" customHeight="1" x14ac:dyDescent="0.25">
      <c r="G189" s="255" t="s">
        <v>577</v>
      </c>
      <c r="H189" s="255"/>
      <c r="I189" s="255"/>
      <c r="J189" s="255"/>
      <c r="K189" s="145">
        <f>SUM(O5:O184)</f>
        <v>198360.85079365084</v>
      </c>
      <c r="L189" s="145">
        <f t="shared" ref="L189:N189" si="28">SUM(P5:P184)</f>
        <v>628440.85079365072</v>
      </c>
      <c r="M189" s="145">
        <f t="shared" si="28"/>
        <v>1085384.1841269839</v>
      </c>
      <c r="N189" s="145">
        <f t="shared" si="28"/>
        <v>2196794.3672771677</v>
      </c>
    </row>
  </sheetData>
  <mergeCells count="12">
    <mergeCell ref="G189:J189"/>
    <mergeCell ref="B3:B4"/>
    <mergeCell ref="C3:C4"/>
    <mergeCell ref="D3:D4"/>
    <mergeCell ref="E3:E4"/>
    <mergeCell ref="F3:F4"/>
    <mergeCell ref="G3:J3"/>
    <mergeCell ref="B2:R2"/>
    <mergeCell ref="K3:N3"/>
    <mergeCell ref="O3:R3"/>
    <mergeCell ref="G187:J187"/>
    <mergeCell ref="G188:J188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0"/>
  <sheetViews>
    <sheetView workbookViewId="0">
      <selection activeCell="C19" sqref="C19"/>
    </sheetView>
  </sheetViews>
  <sheetFormatPr defaultRowHeight="15" x14ac:dyDescent="0.25"/>
  <cols>
    <col min="1" max="1" width="9.140625" style="19"/>
    <col min="2" max="2" width="39.85546875" style="19" bestFit="1" customWidth="1"/>
    <col min="3" max="3" width="19.140625" style="19" bestFit="1" customWidth="1"/>
    <col min="4" max="7" width="16" style="19" bestFit="1" customWidth="1"/>
    <col min="8" max="16384" width="9.140625" style="19"/>
  </cols>
  <sheetData>
    <row r="3" spans="2:7" ht="18.75" x14ac:dyDescent="0.25">
      <c r="B3" s="53" t="s">
        <v>594</v>
      </c>
      <c r="C3" s="54" t="e">
        <f>pop_1</f>
        <v>#REF!</v>
      </c>
      <c r="D3" s="54" t="e">
        <f>pop_2</f>
        <v>#REF!</v>
      </c>
      <c r="E3" s="54" t="e">
        <f>pop_3</f>
        <v>#REF!</v>
      </c>
      <c r="F3" s="54" t="e">
        <f>Pop_4</f>
        <v>#REF!</v>
      </c>
      <c r="G3" s="54" t="e">
        <f>pop_5</f>
        <v>#REF!</v>
      </c>
    </row>
    <row r="5" spans="2:7" x14ac:dyDescent="0.25">
      <c r="B5" s="19" t="s">
        <v>568</v>
      </c>
      <c r="C5" s="21">
        <f>BHU_Cost!C6</f>
        <v>263748</v>
      </c>
      <c r="D5" s="21">
        <f>BHU_Cost!D6</f>
        <v>263748</v>
      </c>
      <c r="E5" s="21">
        <f>BHU_Cost!E6</f>
        <v>263748</v>
      </c>
      <c r="F5" s="21">
        <f>BHU_Cost!F6</f>
        <v>263748</v>
      </c>
      <c r="G5" s="21" t="e">
        <f>BHU_Cost!#REF!</f>
        <v>#REF!</v>
      </c>
    </row>
    <row r="6" spans="2:7" x14ac:dyDescent="0.25">
      <c r="B6" s="19" t="s">
        <v>590</v>
      </c>
      <c r="C6" s="19" t="e">
        <f>BHU_Cost!C9-Operating_Exp!$D$7</f>
        <v>#REF!</v>
      </c>
      <c r="D6" s="19" t="e">
        <f>BHU_Cost!D9-Operating_Exp!$D$7</f>
        <v>#REF!</v>
      </c>
      <c r="E6" s="19" t="e">
        <f>BHU_Cost!E9-Operating_Exp!$D$7</f>
        <v>#REF!</v>
      </c>
      <c r="F6" s="19" t="e">
        <f>BHU_Cost!F9-Operating_Exp!$D$7</f>
        <v>#REF!</v>
      </c>
      <c r="G6" s="19" t="e">
        <f>BHU_Cost!#REF!-Operating_Exp!$D$7</f>
        <v>#REF!</v>
      </c>
    </row>
    <row r="7" spans="2:7" x14ac:dyDescent="0.25">
      <c r="B7" s="19" t="s">
        <v>696</v>
      </c>
      <c r="C7" s="22" t="e">
        <f>SUM(C5:C6)</f>
        <v>#REF!</v>
      </c>
      <c r="D7" s="22" t="e">
        <f t="shared" ref="D7:G7" si="0">SUM(D5:D6)</f>
        <v>#REF!</v>
      </c>
      <c r="E7" s="22" t="e">
        <f t="shared" si="0"/>
        <v>#REF!</v>
      </c>
      <c r="F7" s="22" t="e">
        <f t="shared" si="0"/>
        <v>#REF!</v>
      </c>
      <c r="G7" s="22" t="e">
        <f t="shared" si="0"/>
        <v>#REF!</v>
      </c>
    </row>
    <row r="9" spans="2:7" x14ac:dyDescent="0.25">
      <c r="B9" s="19" t="s">
        <v>700</v>
      </c>
      <c r="C9" s="21">
        <f>Summary_Intervention!$F$5</f>
        <v>393.48</v>
      </c>
      <c r="D9" s="21">
        <f>Summary_Intervention!$F$5</f>
        <v>393.48</v>
      </c>
      <c r="E9" s="21">
        <f>Summary_Intervention!$F$5</f>
        <v>393.48</v>
      </c>
      <c r="F9" s="21">
        <f>Summary_Intervention!$F$5</f>
        <v>393.48</v>
      </c>
      <c r="G9" s="21">
        <f>Summary_Intervention!$F$5</f>
        <v>393.48</v>
      </c>
    </row>
    <row r="10" spans="2:7" x14ac:dyDescent="0.25">
      <c r="B10" s="19" t="s">
        <v>701</v>
      </c>
      <c r="C10" s="21">
        <f>Summary_Intervention!$F$6</f>
        <v>167.04000000000002</v>
      </c>
      <c r="D10" s="21">
        <f>Summary_Intervention!$F$6</f>
        <v>167.04000000000002</v>
      </c>
      <c r="E10" s="21">
        <f>Summary_Intervention!$F$6</f>
        <v>167.04000000000002</v>
      </c>
      <c r="F10" s="21">
        <f>Summary_Intervention!$F$6</f>
        <v>167.04000000000002</v>
      </c>
      <c r="G10" s="21">
        <f>Summary_Intervention!$F$6</f>
        <v>167.04000000000002</v>
      </c>
    </row>
    <row r="11" spans="2:7" x14ac:dyDescent="0.25">
      <c r="B11" s="19" t="s">
        <v>699</v>
      </c>
      <c r="C11" s="21" t="e">
        <f>Summary_Intervention!#REF!</f>
        <v>#REF!</v>
      </c>
      <c r="D11" s="21" t="e">
        <f>Summary_Intervention!#REF!</f>
        <v>#REF!</v>
      </c>
      <c r="E11" s="21" t="e">
        <f>Summary_Intervention!#REF!</f>
        <v>#REF!</v>
      </c>
      <c r="F11" s="21" t="e">
        <f>Summary_Intervention!#REF!</f>
        <v>#REF!</v>
      </c>
      <c r="G11" s="21" t="e">
        <f>Summary_Intervention!#REF!</f>
        <v>#REF!</v>
      </c>
    </row>
    <row r="12" spans="2:7" x14ac:dyDescent="0.25">
      <c r="B12" s="19" t="s">
        <v>702</v>
      </c>
      <c r="C12" s="21" t="e">
        <f>Summary_Intervention!#REF!</f>
        <v>#REF!</v>
      </c>
      <c r="D12" s="21" t="e">
        <f>Summary_Intervention!#REF!</f>
        <v>#REF!</v>
      </c>
      <c r="E12" s="21" t="e">
        <f>Summary_Intervention!#REF!</f>
        <v>#REF!</v>
      </c>
      <c r="F12" s="21" t="e">
        <f>Summary_Intervention!#REF!</f>
        <v>#REF!</v>
      </c>
      <c r="G12" s="21" t="e">
        <f>Summary_Intervention!#REF!</f>
        <v>#REF!</v>
      </c>
    </row>
    <row r="13" spans="2:7" x14ac:dyDescent="0.25">
      <c r="B13" s="19" t="s">
        <v>703</v>
      </c>
      <c r="C13" s="21" t="e">
        <f>Summary_Intervention!#REF!</f>
        <v>#REF!</v>
      </c>
      <c r="D13" s="21" t="e">
        <f>Summary_Intervention!#REF!</f>
        <v>#REF!</v>
      </c>
      <c r="E13" s="21" t="e">
        <f>Summary_Intervention!#REF!</f>
        <v>#REF!</v>
      </c>
      <c r="F13" s="21" t="e">
        <f>Summary_Intervention!#REF!</f>
        <v>#REF!</v>
      </c>
      <c r="G13" s="21" t="e">
        <f>Summary_Intervention!#REF!</f>
        <v>#REF!</v>
      </c>
    </row>
    <row r="14" spans="2:7" x14ac:dyDescent="0.25">
      <c r="B14" s="19" t="s">
        <v>704</v>
      </c>
      <c r="C14" s="21" t="e">
        <f>Summary_Intervention!#REF!</f>
        <v>#REF!</v>
      </c>
      <c r="D14" s="21" t="e">
        <f>Summary_Intervention!#REF!</f>
        <v>#REF!</v>
      </c>
      <c r="E14" s="21" t="e">
        <f>Summary_Intervention!#REF!</f>
        <v>#REF!</v>
      </c>
      <c r="F14" s="21" t="e">
        <f>Summary_Intervention!#REF!</f>
        <v>#REF!</v>
      </c>
      <c r="G14" s="21" t="e">
        <f>Summary_Intervention!#REF!</f>
        <v>#REF!</v>
      </c>
    </row>
    <row r="15" spans="2:7" x14ac:dyDescent="0.25">
      <c r="B15" s="19" t="s">
        <v>705</v>
      </c>
      <c r="C15" s="21" t="e">
        <f>Summary_Intervention!#REF!</f>
        <v>#REF!</v>
      </c>
      <c r="D15" s="21" t="e">
        <f>Summary_Intervention!#REF!</f>
        <v>#REF!</v>
      </c>
      <c r="E15" s="21" t="e">
        <f>Summary_Intervention!#REF!</f>
        <v>#REF!</v>
      </c>
      <c r="F15" s="21" t="e">
        <f>Summary_Intervention!#REF!</f>
        <v>#REF!</v>
      </c>
      <c r="G15" s="21" t="e">
        <f>Summary_Intervention!#REF!</f>
        <v>#REF!</v>
      </c>
    </row>
    <row r="16" spans="2:7" x14ac:dyDescent="0.25">
      <c r="B16" s="19" t="s">
        <v>706</v>
      </c>
      <c r="C16" s="21">
        <f>(Summary_Intervention!$F$7+Summary_Intervention!$F$8)/2</f>
        <v>55.18526</v>
      </c>
      <c r="D16" s="21">
        <f>(Summary_Intervention!$F$7+Summary_Intervention!$F$8)/2</f>
        <v>55.18526</v>
      </c>
      <c r="E16" s="21">
        <f>(Summary_Intervention!$F$7+Summary_Intervention!$F$8)/2</f>
        <v>55.18526</v>
      </c>
      <c r="F16" s="21">
        <f>(Summary_Intervention!$F$7+Summary_Intervention!$F$8)/2</f>
        <v>55.18526</v>
      </c>
      <c r="G16" s="21">
        <f>(Summary_Intervention!$F$7+Summary_Intervention!$F$8)/2</f>
        <v>55.18526</v>
      </c>
    </row>
    <row r="17" spans="2:7" x14ac:dyDescent="0.25">
      <c r="B17" s="19" t="s">
        <v>707</v>
      </c>
      <c r="C17" s="21" t="e">
        <f>Summary_Intervention!#REF!</f>
        <v>#REF!</v>
      </c>
      <c r="D17" s="21" t="e">
        <f>Summary_Intervention!#REF!</f>
        <v>#REF!</v>
      </c>
      <c r="E17" s="21" t="e">
        <f>Summary_Intervention!#REF!</f>
        <v>#REF!</v>
      </c>
      <c r="F17" s="21" t="e">
        <f>Summary_Intervention!#REF!</f>
        <v>#REF!</v>
      </c>
      <c r="G17" s="21" t="e">
        <f>Summary_Intervention!#REF!</f>
        <v>#REF!</v>
      </c>
    </row>
    <row r="18" spans="2:7" x14ac:dyDescent="0.25">
      <c r="B18" s="19" t="s">
        <v>708</v>
      </c>
      <c r="C18" s="21">
        <f>Summary_Intervention!$F$9</f>
        <v>7.7549999999999999</v>
      </c>
      <c r="D18" s="21">
        <f>Summary_Intervention!$F$9</f>
        <v>7.7549999999999999</v>
      </c>
      <c r="E18" s="21">
        <f>Summary_Intervention!$F$9</f>
        <v>7.7549999999999999</v>
      </c>
      <c r="F18" s="21">
        <f>Summary_Intervention!$F$9</f>
        <v>7.7549999999999999</v>
      </c>
      <c r="G18" s="21">
        <f>Summary_Intervention!$F$9</f>
        <v>7.7549999999999999</v>
      </c>
    </row>
    <row r="19" spans="2:7" x14ac:dyDescent="0.25">
      <c r="B19" s="19" t="s">
        <v>709</v>
      </c>
    </row>
    <row r="22" spans="2:7" x14ac:dyDescent="0.25">
      <c r="B22" s="19" t="s">
        <v>694</v>
      </c>
    </row>
    <row r="23" spans="2:7" x14ac:dyDescent="0.25">
      <c r="B23" s="19" t="s">
        <v>695</v>
      </c>
    </row>
    <row r="26" spans="2:7" x14ac:dyDescent="0.25">
      <c r="B26" s="19" t="s">
        <v>696</v>
      </c>
      <c r="C26" s="22">
        <f>C5</f>
        <v>263748</v>
      </c>
      <c r="D26" s="22">
        <f t="shared" ref="D26:G26" si="1">D5</f>
        <v>263748</v>
      </c>
      <c r="E26" s="22">
        <f t="shared" si="1"/>
        <v>263748</v>
      </c>
      <c r="F26" s="22">
        <f t="shared" si="1"/>
        <v>263748</v>
      </c>
      <c r="G26" s="22" t="e">
        <f t="shared" si="1"/>
        <v>#REF!</v>
      </c>
    </row>
    <row r="27" spans="2:7" x14ac:dyDescent="0.25">
      <c r="B27" s="19" t="s">
        <v>697</v>
      </c>
      <c r="C27" s="19">
        <f t="shared" ref="C27:G28" si="2">C9*C22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</row>
    <row r="28" spans="2:7" x14ac:dyDescent="0.25">
      <c r="B28" s="19" t="s">
        <v>698</v>
      </c>
      <c r="C28" s="19">
        <f t="shared" si="2"/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</row>
    <row r="30" spans="2:7" x14ac:dyDescent="0.25">
      <c r="B30" s="19" t="s">
        <v>8</v>
      </c>
      <c r="C30" s="22">
        <f>SUM(C26:C28)</f>
        <v>263748</v>
      </c>
      <c r="D30" s="22">
        <f t="shared" ref="D30:G30" si="3">SUM(D26:D28)</f>
        <v>263748</v>
      </c>
      <c r="E30" s="22">
        <f t="shared" si="3"/>
        <v>263748</v>
      </c>
      <c r="F30" s="22">
        <f t="shared" si="3"/>
        <v>263748</v>
      </c>
      <c r="G30" s="22" t="e">
        <f t="shared" si="3"/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6"/>
  <sheetViews>
    <sheetView topLeftCell="A10" workbookViewId="0">
      <selection activeCell="L40" sqref="L40"/>
    </sheetView>
  </sheetViews>
  <sheetFormatPr defaultRowHeight="15" x14ac:dyDescent="0.25"/>
  <sheetData>
    <row r="3" spans="3:8" x14ac:dyDescent="0.25">
      <c r="C3" s="19" t="str">
        <f>BHU_Cost!B3</f>
        <v>Catchment Population</v>
      </c>
      <c r="D3" s="121" t="s">
        <v>675</v>
      </c>
      <c r="E3" s="121" t="s">
        <v>676</v>
      </c>
      <c r="F3" s="121" t="s">
        <v>677</v>
      </c>
      <c r="G3" s="121" t="s">
        <v>678</v>
      </c>
      <c r="H3" s="121" t="s">
        <v>679</v>
      </c>
    </row>
    <row r="4" spans="3:8" x14ac:dyDescent="0.25">
      <c r="C4" t="s">
        <v>656</v>
      </c>
      <c r="D4" s="21" t="e">
        <f>BHU_Cost!C14</f>
        <v>#REF!</v>
      </c>
      <c r="E4" s="21" t="e">
        <f>BHU_Cost!D14</f>
        <v>#REF!</v>
      </c>
      <c r="F4" s="21" t="e">
        <f>BHU_Cost!E14</f>
        <v>#REF!</v>
      </c>
      <c r="G4" s="21" t="e">
        <f>BHU_Cost!F14</f>
        <v>#REF!</v>
      </c>
      <c r="H4" s="21" t="e">
        <f>BHU_Cost!#REF!</f>
        <v>#REF!</v>
      </c>
    </row>
    <row r="5" spans="3:8" x14ac:dyDescent="0.25">
      <c r="C5" t="s">
        <v>673</v>
      </c>
      <c r="D5" s="21" t="e">
        <f>BHU_Cost!C23</f>
        <v>#REF!</v>
      </c>
      <c r="E5" s="21" t="e">
        <f>BHU_Cost!D23</f>
        <v>#REF!</v>
      </c>
      <c r="F5" s="21" t="e">
        <f>BHU_Cost!E23</f>
        <v>#REF!</v>
      </c>
      <c r="G5" s="21" t="e">
        <f>BHU_Cost!F23</f>
        <v>#REF!</v>
      </c>
      <c r="H5" s="21" t="e">
        <f>BHU_Cost!#REF!</f>
        <v>#REF!</v>
      </c>
    </row>
    <row r="6" spans="3:8" x14ac:dyDescent="0.25">
      <c r="C6" t="s">
        <v>674</v>
      </c>
      <c r="D6" s="21" t="e">
        <f>BHU_Cost!C24</f>
        <v>#REF!</v>
      </c>
      <c r="E6" s="21" t="e">
        <f>BHU_Cost!D24</f>
        <v>#REF!</v>
      </c>
      <c r="F6" s="21" t="e">
        <f>BHU_Cost!E24</f>
        <v>#REF!</v>
      </c>
      <c r="G6" s="21" t="e">
        <f>BHU_Cost!F24</f>
        <v>#REF!</v>
      </c>
      <c r="H6" s="21" t="e">
        <f>BHU_Cost!#REF!</f>
        <v>#REF!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showGridLines="0" zoomScaleNormal="100" workbookViewId="0">
      <selection activeCell="E18" sqref="E18"/>
    </sheetView>
  </sheetViews>
  <sheetFormatPr defaultRowHeight="18.75" x14ac:dyDescent="0.3"/>
  <cols>
    <col min="1" max="1" width="9.140625" style="52"/>
    <col min="2" max="2" width="30.7109375" style="52" customWidth="1"/>
    <col min="3" max="4" width="14.5703125" style="52" bestFit="1" customWidth="1"/>
    <col min="5" max="5" width="70.5703125" style="52" customWidth="1"/>
    <col min="6" max="8" width="9.140625" style="52"/>
    <col min="9" max="9" width="0" style="52" hidden="1" customWidth="1"/>
    <col min="10" max="15" width="9.140625" style="52" hidden="1" customWidth="1"/>
    <col min="16" max="16" width="0" style="52" hidden="1" customWidth="1"/>
    <col min="17" max="16384" width="9.140625" style="52"/>
  </cols>
  <sheetData>
    <row r="2" spans="2:14" x14ac:dyDescent="0.3">
      <c r="B2" s="189" t="s">
        <v>590</v>
      </c>
      <c r="C2" s="190"/>
      <c r="D2" s="190"/>
      <c r="E2" s="190"/>
    </row>
    <row r="3" spans="2:14" x14ac:dyDescent="0.3">
      <c r="B3" s="187" t="s">
        <v>585</v>
      </c>
      <c r="C3" s="189" t="s">
        <v>468</v>
      </c>
      <c r="D3" s="198"/>
      <c r="E3" s="187" t="s">
        <v>588</v>
      </c>
    </row>
    <row r="4" spans="2:14" x14ac:dyDescent="0.3">
      <c r="B4" s="188"/>
      <c r="C4" s="131" t="s">
        <v>586</v>
      </c>
      <c r="D4" s="131" t="s">
        <v>587</v>
      </c>
      <c r="E4" s="188"/>
    </row>
    <row r="5" spans="2:14" x14ac:dyDescent="0.3">
      <c r="B5" s="55" t="s">
        <v>658</v>
      </c>
      <c r="C5" s="56">
        <v>2000</v>
      </c>
      <c r="D5" s="56">
        <f>C5*12</f>
        <v>24000</v>
      </c>
      <c r="E5" s="57" t="s">
        <v>584</v>
      </c>
    </row>
    <row r="6" spans="2:14" x14ac:dyDescent="0.3">
      <c r="B6" s="55" t="s">
        <v>575</v>
      </c>
      <c r="C6" s="56">
        <v>800</v>
      </c>
      <c r="D6" s="56">
        <f>C6*12</f>
        <v>9600</v>
      </c>
      <c r="E6" s="57" t="s">
        <v>879</v>
      </c>
      <c r="J6" s="52" t="s">
        <v>870</v>
      </c>
      <c r="M6" s="52">
        <v>3500</v>
      </c>
      <c r="N6" s="52">
        <f>M6/3</f>
        <v>1166.6666666666667</v>
      </c>
    </row>
    <row r="7" spans="2:14" x14ac:dyDescent="0.3">
      <c r="B7" s="55" t="s">
        <v>577</v>
      </c>
      <c r="C7" s="56">
        <f>D7/12</f>
        <v>479.16666666666674</v>
      </c>
      <c r="D7" s="56">
        <f>N16</f>
        <v>5750.0000000000009</v>
      </c>
      <c r="E7" s="46" t="s">
        <v>880</v>
      </c>
      <c r="J7" s="52" t="s">
        <v>871</v>
      </c>
      <c r="M7" s="52">
        <v>3000</v>
      </c>
      <c r="N7" s="52">
        <f>M7/2</f>
        <v>1500</v>
      </c>
    </row>
    <row r="8" spans="2:14" x14ac:dyDescent="0.3">
      <c r="B8" s="131"/>
      <c r="C8" s="130">
        <f>SUM(C5:C7)</f>
        <v>3279.166666666667</v>
      </c>
      <c r="D8" s="130">
        <f>SUM(D5:D7)</f>
        <v>39350</v>
      </c>
      <c r="E8" s="131"/>
      <c r="J8" s="52" t="s">
        <v>872</v>
      </c>
      <c r="M8" s="52">
        <v>3000</v>
      </c>
      <c r="N8" s="52">
        <f>M8/3</f>
        <v>1000</v>
      </c>
    </row>
    <row r="9" spans="2:14" x14ac:dyDescent="0.3">
      <c r="J9" s="52" t="s">
        <v>873</v>
      </c>
      <c r="M9" s="52">
        <v>2000</v>
      </c>
      <c r="N9" s="52">
        <f>M9/3</f>
        <v>666.66666666666663</v>
      </c>
    </row>
    <row r="10" spans="2:14" x14ac:dyDescent="0.3">
      <c r="B10" s="200" t="s">
        <v>589</v>
      </c>
      <c r="C10" s="201"/>
      <c r="D10" s="171">
        <f>D8/(Staff_cost!F30+Staff_cost!F31)</f>
        <v>0.14919544413606928</v>
      </c>
    </row>
    <row r="11" spans="2:14" x14ac:dyDescent="0.3">
      <c r="J11" s="52" t="s">
        <v>874</v>
      </c>
      <c r="M11" s="52">
        <v>500</v>
      </c>
      <c r="N11" s="52">
        <f>M11/1</f>
        <v>500</v>
      </c>
    </row>
    <row r="12" spans="2:14" hidden="1" x14ac:dyDescent="0.3">
      <c r="B12" s="52" t="s">
        <v>665</v>
      </c>
      <c r="D12" s="117">
        <f>D8-D5</f>
        <v>15350</v>
      </c>
    </row>
    <row r="13" spans="2:14" x14ac:dyDescent="0.3">
      <c r="J13" s="52" t="s">
        <v>875</v>
      </c>
      <c r="M13" s="52">
        <v>100</v>
      </c>
      <c r="N13" s="52">
        <f>M13/2</f>
        <v>50</v>
      </c>
    </row>
    <row r="14" spans="2:14" x14ac:dyDescent="0.3">
      <c r="D14" s="117"/>
      <c r="J14" s="52" t="s">
        <v>876</v>
      </c>
      <c r="M14" s="52">
        <v>400</v>
      </c>
      <c r="N14" s="52">
        <f>M14/2</f>
        <v>200</v>
      </c>
    </row>
    <row r="15" spans="2:14" x14ac:dyDescent="0.3">
      <c r="J15" s="52" t="s">
        <v>877</v>
      </c>
      <c r="M15" s="52">
        <v>2000</v>
      </c>
      <c r="N15" s="52">
        <f>M15/3</f>
        <v>666.66666666666663</v>
      </c>
    </row>
    <row r="16" spans="2:14" x14ac:dyDescent="0.3">
      <c r="N16" s="52">
        <f>SUM(N6:N15)</f>
        <v>5750.0000000000009</v>
      </c>
    </row>
  </sheetData>
  <sheetProtection algorithmName="SHA-512" hashValue="kuHBWRfcGRus+RiXbUkSoacjxakUnpDlO6o37GPJR5x9oHsqw0iQgEqMqGdWKB/4dcOD3nbVknm0+XzeHPbaww==" saltValue="QP6oDoCNaYcB7UBJCgFNAQ==" spinCount="100000" sheet="1" objects="1" scenarios="1" formatCells="0" formatColumns="0" formatRows="0" insertColumns="0" insertRows="0" insertHyperlinks="0" deleteColumns="0" deleteRows="0" sort="0" autoFilter="0" pivotTables="0"/>
  <mergeCells count="5">
    <mergeCell ref="B10:C10"/>
    <mergeCell ref="B2:E2"/>
    <mergeCell ref="E3:E4"/>
    <mergeCell ref="C3:D3"/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showGridLines="0" zoomScale="115" zoomScaleNormal="115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5" width="9.85546875" style="61" customWidth="1"/>
    <col min="6" max="6" width="9.140625" style="61"/>
    <col min="7" max="7" width="9.85546875" style="61" customWidth="1"/>
    <col min="8" max="8" width="13.85546875" style="61" customWidth="1"/>
    <col min="9" max="9" width="9.140625" style="61"/>
    <col min="10" max="10" width="0" style="61" hidden="1" customWidth="1"/>
    <col min="11" max="16384" width="9.140625" style="61"/>
  </cols>
  <sheetData>
    <row r="1" spans="2:10" x14ac:dyDescent="0.25">
      <c r="B1" s="60" t="s">
        <v>307</v>
      </c>
    </row>
    <row r="3" spans="2:10" ht="15.75" x14ac:dyDescent="0.25">
      <c r="B3" s="202" t="s">
        <v>161</v>
      </c>
      <c r="C3" s="202"/>
      <c r="D3" s="202"/>
      <c r="E3" s="202"/>
      <c r="F3" s="202"/>
      <c r="G3" s="202"/>
      <c r="H3" s="202"/>
    </row>
    <row r="4" spans="2:10" ht="15" customHeight="1" x14ac:dyDescent="0.25">
      <c r="B4" s="203" t="s">
        <v>0</v>
      </c>
      <c r="C4" s="205" t="s">
        <v>5</v>
      </c>
      <c r="D4" s="205"/>
      <c r="E4" s="205" t="s">
        <v>6</v>
      </c>
      <c r="F4" s="205" t="s">
        <v>3</v>
      </c>
      <c r="G4" s="205"/>
      <c r="H4" s="205" t="s">
        <v>9</v>
      </c>
    </row>
    <row r="5" spans="2:10" x14ac:dyDescent="0.25">
      <c r="B5" s="204"/>
      <c r="C5" s="164" t="s">
        <v>4</v>
      </c>
      <c r="D5" s="164" t="s">
        <v>7</v>
      </c>
      <c r="E5" s="205"/>
      <c r="F5" s="164" t="s">
        <v>8</v>
      </c>
      <c r="G5" s="164" t="s">
        <v>2</v>
      </c>
      <c r="H5" s="205"/>
    </row>
    <row r="6" spans="2:10" x14ac:dyDescent="0.25">
      <c r="B6" s="69"/>
      <c r="C6" s="65"/>
      <c r="D6" s="65"/>
      <c r="E6" s="65"/>
      <c r="F6" s="65"/>
      <c r="G6" s="66" t="str">
        <f>IF(F6=0,"",(VLOOKUP($B$6:$B$15,Drugs_list!$C$9:$K$172,7,FALSE)))</f>
        <v/>
      </c>
      <c r="H6" s="66" t="str">
        <f>IF(F6=0,"",(F6*G6))</f>
        <v/>
      </c>
      <c r="J6" s="61" t="e">
        <f>VLOOKUP($B$6:$B$15,Drugs_list!$C$9:$K$172,9,FALSE)</f>
        <v>#N/A</v>
      </c>
    </row>
    <row r="7" spans="2:10" x14ac:dyDescent="0.25">
      <c r="B7" s="69" t="s">
        <v>304</v>
      </c>
      <c r="C7" s="65">
        <f>30*6</f>
        <v>180</v>
      </c>
      <c r="D7" s="65">
        <v>1</v>
      </c>
      <c r="E7" s="65">
        <v>1</v>
      </c>
      <c r="F7" s="65">
        <f t="shared" ref="F7:F15" si="0">C7*D7*E7</f>
        <v>180</v>
      </c>
      <c r="G7" s="66">
        <f>IF(F7=0,"",(VLOOKUP($B$6:$B$15,Drugs_list!$C$9:$K$172,7,FALSE)))</f>
        <v>1.8560000000000001</v>
      </c>
      <c r="H7" s="66">
        <f t="shared" ref="H7:H15" si="1">IF(F7=0,"",(F7*G7))</f>
        <v>334.08000000000004</v>
      </c>
      <c r="J7" s="61" t="str">
        <f>VLOOKUP($B$6:$B$15,Drugs_list!$C$9:$K$172,9,FALSE)</f>
        <v>1capsule</v>
      </c>
    </row>
    <row r="8" spans="2:10" x14ac:dyDescent="0.25">
      <c r="B8" s="69"/>
      <c r="C8" s="65"/>
      <c r="D8" s="65"/>
      <c r="E8" s="65"/>
      <c r="F8" s="65">
        <f t="shared" si="0"/>
        <v>0</v>
      </c>
      <c r="G8" s="66" t="str">
        <f>IF(F8=0,"",(VLOOKUP($B$6:$B$15,Drugs_list!$C$9:$K$172,7,FALSE)))</f>
        <v/>
      </c>
      <c r="H8" s="66" t="str">
        <f t="shared" si="1"/>
        <v/>
      </c>
      <c r="J8" s="61" t="e">
        <f>VLOOKUP($B$6:$B$15,Drugs_list!$C$9:$K$172,9,FALSE)</f>
        <v>#N/A</v>
      </c>
    </row>
    <row r="9" spans="2:10" x14ac:dyDescent="0.25">
      <c r="B9" s="69"/>
      <c r="C9" s="65"/>
      <c r="D9" s="65"/>
      <c r="E9" s="65"/>
      <c r="F9" s="65">
        <f t="shared" si="0"/>
        <v>0</v>
      </c>
      <c r="G9" s="66" t="str">
        <f>IF(F9=0,"",(VLOOKUP($B$6:$B$15,Drugs_list!$C$9:$K$172,7,FALSE)))</f>
        <v/>
      </c>
      <c r="H9" s="66" t="str">
        <f t="shared" si="1"/>
        <v/>
      </c>
      <c r="J9" s="61" t="e">
        <f>VLOOKUP($B$6:$B$15,Drugs_list!$C$9:$K$172,9,FALSE)</f>
        <v>#N/A</v>
      </c>
    </row>
    <row r="10" spans="2:10" x14ac:dyDescent="0.25">
      <c r="B10" s="69"/>
      <c r="C10" s="65"/>
      <c r="D10" s="65"/>
      <c r="E10" s="65"/>
      <c r="F10" s="65">
        <f t="shared" si="0"/>
        <v>0</v>
      </c>
      <c r="G10" s="66" t="str">
        <f>IF(F10=0,"",(VLOOKUP($B$6:$B$15,Drugs_list!$C$9:$K$172,7,FALSE)))</f>
        <v/>
      </c>
      <c r="H10" s="66" t="str">
        <f t="shared" si="1"/>
        <v/>
      </c>
      <c r="J10" s="61" t="e">
        <f>VLOOKUP($B$6:$B$15,Drugs_list!$C$9:$K$172,9,FALSE)</f>
        <v>#N/A</v>
      </c>
    </row>
    <row r="11" spans="2:10" x14ac:dyDescent="0.25">
      <c r="B11" s="69"/>
      <c r="C11" s="65"/>
      <c r="D11" s="65"/>
      <c r="E11" s="65"/>
      <c r="F11" s="65">
        <f t="shared" si="0"/>
        <v>0</v>
      </c>
      <c r="G11" s="66" t="str">
        <f>IF(F11=0,"",(VLOOKUP($B$6:$B$15,Drugs_list!$C$9:$K$172,7,FALSE)))</f>
        <v/>
      </c>
      <c r="H11" s="66" t="str">
        <f t="shared" si="1"/>
        <v/>
      </c>
      <c r="J11" s="61" t="e">
        <f>VLOOKUP($B$6:$B$15,Drugs_list!$C$9:$K$172,9,FALSE)</f>
        <v>#N/A</v>
      </c>
    </row>
    <row r="12" spans="2:10" x14ac:dyDescent="0.25">
      <c r="B12" s="69"/>
      <c r="C12" s="65"/>
      <c r="D12" s="65"/>
      <c r="E12" s="65"/>
      <c r="F12" s="65">
        <f t="shared" si="0"/>
        <v>0</v>
      </c>
      <c r="G12" s="66" t="str">
        <f>IF(F12=0,"",(VLOOKUP($B$6:$B$15,Drugs_list!$C$9:$K$172,7,FALSE)))</f>
        <v/>
      </c>
      <c r="H12" s="66" t="str">
        <f t="shared" si="1"/>
        <v/>
      </c>
      <c r="J12" s="61" t="e">
        <f>VLOOKUP($B$6:$B$15,Drugs_list!$C$9:$K$172,9,FALSE)</f>
        <v>#N/A</v>
      </c>
    </row>
    <row r="13" spans="2:10" x14ac:dyDescent="0.25">
      <c r="B13" s="69"/>
      <c r="C13" s="65"/>
      <c r="D13" s="65"/>
      <c r="E13" s="65"/>
      <c r="F13" s="65">
        <f t="shared" si="0"/>
        <v>0</v>
      </c>
      <c r="G13" s="66" t="str">
        <f>IF(F13=0,"",(VLOOKUP($B$6:$B$15,Drugs_list!$C$9:$K$172,7,FALSE)))</f>
        <v/>
      </c>
      <c r="H13" s="66" t="str">
        <f t="shared" si="1"/>
        <v/>
      </c>
      <c r="J13" s="61" t="e">
        <f>VLOOKUP($B$6:$B$15,Drugs_list!$C$9:$K$172,9,FALSE)</f>
        <v>#N/A</v>
      </c>
    </row>
    <row r="14" spans="2:10" x14ac:dyDescent="0.25">
      <c r="B14" s="69"/>
      <c r="C14" s="65"/>
      <c r="D14" s="65"/>
      <c r="E14" s="65"/>
      <c r="F14" s="65">
        <f t="shared" si="0"/>
        <v>0</v>
      </c>
      <c r="G14" s="66" t="str">
        <f>IF(F14=0,"",(VLOOKUP($B$6:$B$15,Drugs_list!$C$9:$K$172,7,FALSE)))</f>
        <v/>
      </c>
      <c r="H14" s="66" t="str">
        <f t="shared" si="1"/>
        <v/>
      </c>
      <c r="J14" s="61" t="e">
        <f>VLOOKUP($B$6:$B$15,Drugs_list!$C$9:$K$172,9,FALSE)</f>
        <v>#N/A</v>
      </c>
    </row>
    <row r="15" spans="2:10" x14ac:dyDescent="0.25">
      <c r="B15" s="69"/>
      <c r="C15" s="65"/>
      <c r="D15" s="65"/>
      <c r="E15" s="65"/>
      <c r="F15" s="65">
        <f t="shared" si="0"/>
        <v>0</v>
      </c>
      <c r="G15" s="66" t="str">
        <f>IF(F15=0,"",(VLOOKUP($B$6:$B$15,Drugs_list!$C$9:$K$172,7,FALSE)))</f>
        <v/>
      </c>
      <c r="H15" s="66" t="str">
        <f t="shared" si="1"/>
        <v/>
      </c>
      <c r="J15" s="61" t="e">
        <f>VLOOKUP($B$6:$B$15,Drugs_list!$C$9:$K$172,9,FALSE)</f>
        <v>#N/A</v>
      </c>
    </row>
    <row r="16" spans="2:10" x14ac:dyDescent="0.25">
      <c r="B16" s="166" t="s">
        <v>8</v>
      </c>
      <c r="C16" s="173"/>
      <c r="D16" s="173"/>
      <c r="E16" s="173"/>
      <c r="F16" s="173"/>
      <c r="G16" s="173"/>
      <c r="H16" s="167">
        <f>SUM(H6:H15)</f>
        <v>334.08000000000004</v>
      </c>
    </row>
    <row r="19" spans="2:5" ht="15.75" x14ac:dyDescent="0.25">
      <c r="B19" s="174" t="s">
        <v>162</v>
      </c>
      <c r="C19" s="174"/>
      <c r="D19" s="174"/>
      <c r="E19" s="174"/>
    </row>
    <row r="20" spans="2:5" ht="15" customHeight="1" x14ac:dyDescent="0.25">
      <c r="B20" s="175" t="s">
        <v>0</v>
      </c>
      <c r="C20" s="164" t="s">
        <v>1</v>
      </c>
      <c r="D20" s="164" t="s">
        <v>159</v>
      </c>
      <c r="E20" s="164" t="s">
        <v>160</v>
      </c>
    </row>
    <row r="21" spans="2:5" x14ac:dyDescent="0.25">
      <c r="B21" s="69"/>
      <c r="C21" s="65"/>
      <c r="D21" s="65" t="str">
        <f>IF(C21="","",(VLOOKUP($B$21:$B$30,Supplies_list!$C$8:$G$64,5,FALSE)))</f>
        <v/>
      </c>
      <c r="E21" s="65" t="str">
        <f>IF(C21=0,"",(C21*D21))</f>
        <v/>
      </c>
    </row>
    <row r="22" spans="2:5" x14ac:dyDescent="0.25">
      <c r="B22" s="69" t="s">
        <v>519</v>
      </c>
      <c r="C22" s="65">
        <v>1</v>
      </c>
      <c r="D22" s="65">
        <f>IF(C22="","",(VLOOKUP($B$21:$B$30,Supplies_list!$C$8:$G$64,5,FALSE)))</f>
        <v>55</v>
      </c>
      <c r="E22" s="65">
        <f t="shared" ref="E22:E30" si="2">IF(C22=0,"",(C22*D22))</f>
        <v>55</v>
      </c>
    </row>
    <row r="23" spans="2:5" x14ac:dyDescent="0.25">
      <c r="B23" s="69" t="s">
        <v>306</v>
      </c>
      <c r="C23" s="65">
        <v>1</v>
      </c>
      <c r="D23" s="65">
        <f>IF(C23="","",(VLOOKUP($B$21:$B$30,Supplies_list!$C$8:$G$64,5,FALSE)))</f>
        <v>4.4000000000000004</v>
      </c>
      <c r="E23" s="65">
        <f t="shared" si="2"/>
        <v>4.4000000000000004</v>
      </c>
    </row>
    <row r="24" spans="2:5" x14ac:dyDescent="0.25">
      <c r="B24" s="69"/>
      <c r="C24" s="65"/>
      <c r="D24" s="65" t="str">
        <f>IF(C24="","",(VLOOKUP($B$21:$B$30,Supplies_list!$C$8:$G$64,5,FALSE)))</f>
        <v/>
      </c>
      <c r="E24" s="65" t="str">
        <f t="shared" si="2"/>
        <v/>
      </c>
    </row>
    <row r="25" spans="2:5" x14ac:dyDescent="0.25">
      <c r="B25" s="69"/>
      <c r="C25" s="65"/>
      <c r="D25" s="65" t="str">
        <f>IF(C25="","",(VLOOKUP($B$21:$B$30,Supplies_list!$C$8:$G$64,5,FALSE)))</f>
        <v/>
      </c>
      <c r="E25" s="65" t="str">
        <f t="shared" si="2"/>
        <v/>
      </c>
    </row>
    <row r="26" spans="2:5" x14ac:dyDescent="0.25">
      <c r="B26" s="69"/>
      <c r="C26" s="65"/>
      <c r="D26" s="65" t="str">
        <f>IF(C26="","",(VLOOKUP($B$21:$B$30,Supplies_list!$C$8:$G$64,5,FALSE)))</f>
        <v/>
      </c>
      <c r="E26" s="65" t="str">
        <f t="shared" si="2"/>
        <v/>
      </c>
    </row>
    <row r="27" spans="2:5" x14ac:dyDescent="0.25">
      <c r="B27" s="69"/>
      <c r="C27" s="65"/>
      <c r="D27" s="65" t="str">
        <f>IF(C27="","",(VLOOKUP($B$21:$B$30,Supplies_list!$C$8:$G$64,5,FALSE)))</f>
        <v/>
      </c>
      <c r="E27" s="65" t="str">
        <f t="shared" si="2"/>
        <v/>
      </c>
    </row>
    <row r="28" spans="2:5" x14ac:dyDescent="0.25">
      <c r="B28" s="69"/>
      <c r="C28" s="65"/>
      <c r="D28" s="65" t="str">
        <f>IF(C28="","",(VLOOKUP($B$21:$B$30,Supplies_list!$C$8:$G$64,5,FALSE)))</f>
        <v/>
      </c>
      <c r="E28" s="65" t="str">
        <f t="shared" si="2"/>
        <v/>
      </c>
    </row>
    <row r="29" spans="2:5" x14ac:dyDescent="0.25">
      <c r="B29" s="69"/>
      <c r="C29" s="65"/>
      <c r="D29" s="65" t="str">
        <f>IF(C29="","",(VLOOKUP($B$21:$B$30,Supplies_list!$C$8:$G$64,5,FALSE)))</f>
        <v/>
      </c>
      <c r="E29" s="65" t="str">
        <f t="shared" si="2"/>
        <v/>
      </c>
    </row>
    <row r="30" spans="2:5" x14ac:dyDescent="0.25">
      <c r="B30" s="69"/>
      <c r="C30" s="65"/>
      <c r="D30" s="65" t="str">
        <f>IF(C30="","",(VLOOKUP($B$21:$B$30,Supplies_list!$C$8:$G$64,5,FALSE)))</f>
        <v/>
      </c>
      <c r="E30" s="65" t="str">
        <f t="shared" si="2"/>
        <v/>
      </c>
    </row>
    <row r="31" spans="2:5" x14ac:dyDescent="0.25">
      <c r="B31" s="166" t="s">
        <v>8</v>
      </c>
      <c r="C31" s="173"/>
      <c r="D31" s="173"/>
      <c r="E31" s="167">
        <f>SUM(E21:E30)</f>
        <v>59.4</v>
      </c>
    </row>
    <row r="35" spans="2:5" ht="15.75" x14ac:dyDescent="0.25">
      <c r="B35" s="174" t="s">
        <v>163</v>
      </c>
      <c r="C35" s="174"/>
      <c r="D35" s="174"/>
      <c r="E35" s="174"/>
    </row>
    <row r="36" spans="2:5" x14ac:dyDescent="0.25">
      <c r="B36" s="166" t="s">
        <v>0</v>
      </c>
      <c r="C36" s="164" t="s">
        <v>1</v>
      </c>
      <c r="D36" s="164" t="s">
        <v>159</v>
      </c>
      <c r="E36" s="164" t="s">
        <v>160</v>
      </c>
    </row>
    <row r="37" spans="2:5" x14ac:dyDescent="0.25">
      <c r="B37" s="69"/>
      <c r="C37" s="65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9"/>
      <c r="C38" s="65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9"/>
      <c r="C39" s="65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9"/>
      <c r="C40" s="65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9"/>
      <c r="C41" s="65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9"/>
      <c r="C42" s="65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9"/>
      <c r="C43" s="65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9"/>
      <c r="C44" s="65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9"/>
      <c r="C45" s="65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9"/>
      <c r="C46" s="65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SUM(E37:E46)</f>
        <v>0</v>
      </c>
    </row>
    <row r="49" spans="2:3" x14ac:dyDescent="0.25">
      <c r="B49" s="166" t="s">
        <v>0</v>
      </c>
      <c r="C49" s="164" t="s">
        <v>160</v>
      </c>
    </row>
    <row r="50" spans="2:3" x14ac:dyDescent="0.25">
      <c r="B50" s="69" t="s">
        <v>509</v>
      </c>
      <c r="C50" s="70">
        <f>ab</f>
        <v>334.08000000000004</v>
      </c>
    </row>
    <row r="51" spans="2:3" x14ac:dyDescent="0.25">
      <c r="B51" s="69" t="s">
        <v>148</v>
      </c>
      <c r="C51" s="70">
        <f>E31</f>
        <v>59.4</v>
      </c>
    </row>
    <row r="52" spans="2:3" x14ac:dyDescent="0.25">
      <c r="B52" s="69" t="s">
        <v>569</v>
      </c>
      <c r="C52" s="70">
        <f>E47</f>
        <v>0</v>
      </c>
    </row>
    <row r="53" spans="2:3" x14ac:dyDescent="0.25">
      <c r="B53" s="166" t="s">
        <v>8</v>
      </c>
      <c r="C53" s="176">
        <f>SUM(C50:C52)</f>
        <v>393.48</v>
      </c>
    </row>
  </sheetData>
  <sheetProtection algorithmName="SHA-512" hashValue="EJ1bh67R9aotapSCvl7aeolOcTWkHpbZy7u8rYMGLXC6PYNsNaCnQ2XaAzkwIQgJ+Z3LwwhwW9Z/l4Hf0IM5MA==" saltValue="mD0TDBwgebjJaDZjWWTCaQ==" spinCount="100000" sheet="1" objects="1" scenarios="1"/>
  <mergeCells count="6">
    <mergeCell ref="B3:H3"/>
    <mergeCell ref="B4:B5"/>
    <mergeCell ref="C4:D4"/>
    <mergeCell ref="E4:E5"/>
    <mergeCell ref="F4:G4"/>
    <mergeCell ref="H4:H5"/>
  </mergeCells>
  <pageMargins left="0.25" right="0.25" top="0.75" bottom="0.75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showGridLines="0" workbookViewId="0">
      <selection activeCell="F12" sqref="F12"/>
    </sheetView>
  </sheetViews>
  <sheetFormatPr defaultRowHeight="15" x14ac:dyDescent="0.25"/>
  <cols>
    <col min="1" max="1" width="9.140625" style="19"/>
    <col min="2" max="2" width="79.7109375" style="19" bestFit="1" customWidth="1"/>
    <col min="3" max="3" width="10" style="19" customWidth="1"/>
    <col min="4" max="4" width="9.85546875" style="19" customWidth="1"/>
    <col min="5" max="5" width="11.5703125" style="19" customWidth="1"/>
    <col min="6" max="6" width="9.5703125" style="19" customWidth="1"/>
    <col min="7" max="7" width="8.5703125" style="19" customWidth="1"/>
    <col min="8" max="8" width="11.5703125" style="19" customWidth="1"/>
    <col min="9" max="16384" width="9.140625" style="19"/>
  </cols>
  <sheetData>
    <row r="1" spans="2:11" x14ac:dyDescent="0.25">
      <c r="B1" s="20" t="s">
        <v>257</v>
      </c>
    </row>
    <row r="3" spans="2:11" ht="15.75" x14ac:dyDescent="0.25">
      <c r="B3" s="206" t="s">
        <v>161</v>
      </c>
      <c r="C3" s="206"/>
      <c r="D3" s="206"/>
      <c r="E3" s="206"/>
      <c r="F3" s="206"/>
      <c r="G3" s="206"/>
      <c r="H3" s="206"/>
      <c r="I3" s="206"/>
    </row>
    <row r="4" spans="2:11" ht="15" customHeight="1" x14ac:dyDescent="0.25">
      <c r="B4" s="207" t="s">
        <v>0</v>
      </c>
      <c r="C4" s="209" t="s">
        <v>5</v>
      </c>
      <c r="D4" s="209"/>
      <c r="E4" s="209" t="s">
        <v>6</v>
      </c>
      <c r="F4" s="210" t="s">
        <v>518</v>
      </c>
      <c r="G4" s="212" t="s">
        <v>3</v>
      </c>
      <c r="H4" s="213"/>
      <c r="I4" s="209" t="s">
        <v>9</v>
      </c>
    </row>
    <row r="5" spans="2:11" x14ac:dyDescent="0.25">
      <c r="B5" s="208"/>
      <c r="C5" s="7" t="s">
        <v>4</v>
      </c>
      <c r="D5" s="7" t="s">
        <v>7</v>
      </c>
      <c r="E5" s="209"/>
      <c r="F5" s="211"/>
      <c r="G5" s="7" t="s">
        <v>8</v>
      </c>
      <c r="H5" s="7" t="s">
        <v>2</v>
      </c>
      <c r="I5" s="209"/>
    </row>
    <row r="6" spans="2:11" x14ac:dyDescent="0.25">
      <c r="B6" s="31" t="s">
        <v>426</v>
      </c>
      <c r="C6" s="32">
        <v>1</v>
      </c>
      <c r="D6" s="32">
        <v>1</v>
      </c>
      <c r="E6" s="32">
        <v>1</v>
      </c>
      <c r="F6" s="38">
        <v>1</v>
      </c>
      <c r="G6" s="32">
        <f>C6*D6*E6*F6</f>
        <v>1</v>
      </c>
      <c r="H6" s="33">
        <f>IF(G6=0,"",(VLOOKUP($B$6:$B$15,Drugs_list!$C$9:$K$172,7,FALSE)))</f>
        <v>10.44</v>
      </c>
      <c r="I6" s="33">
        <f>IF(G6=0,"",(G6*H6))</f>
        <v>10.44</v>
      </c>
      <c r="K6" s="19" t="str">
        <f>VLOOKUP($B$6:$B$15,Drugs_list!$C$9:$K$172,9,FALSE)</f>
        <v>1inj</v>
      </c>
    </row>
    <row r="7" spans="2:11" x14ac:dyDescent="0.25">
      <c r="B7" s="31" t="s">
        <v>432</v>
      </c>
      <c r="C7" s="32">
        <v>1</v>
      </c>
      <c r="D7" s="32">
        <v>1</v>
      </c>
      <c r="E7" s="32">
        <v>1</v>
      </c>
      <c r="F7" s="38">
        <v>1</v>
      </c>
      <c r="G7" s="32">
        <f t="shared" ref="G7:G15" si="0">C7*D7*E7*F7</f>
        <v>1</v>
      </c>
      <c r="H7" s="33">
        <f>IF(G7=0,"",(VLOOKUP($B$6:$B$15,Drugs_list!$C$9:$K$172,7,FALSE)))</f>
        <v>1.6497777777777778</v>
      </c>
      <c r="I7" s="33">
        <f t="shared" ref="I7:I15" si="1">IF(G7=0,"",(G7*H7))</f>
        <v>1.6497777777777778</v>
      </c>
      <c r="K7" s="19" t="str">
        <f>VLOOKUP($B$6:$B$15,Drugs_list!$C$9:$K$172,9,FALSE)</f>
        <v>5ml</v>
      </c>
    </row>
    <row r="8" spans="2:11" x14ac:dyDescent="0.25">
      <c r="B8" s="31" t="s">
        <v>400</v>
      </c>
      <c r="C8" s="32">
        <v>1</v>
      </c>
      <c r="D8" s="32">
        <v>1</v>
      </c>
      <c r="E8" s="32">
        <v>2</v>
      </c>
      <c r="F8" s="38">
        <v>1</v>
      </c>
      <c r="G8" s="32">
        <f t="shared" si="0"/>
        <v>2</v>
      </c>
      <c r="H8" s="33">
        <f>IF(G8=0,"",(VLOOKUP($B$6:$B$15,Drugs_list!$C$9:$K$172,7,FALSE)))</f>
        <v>0.92800000000000005</v>
      </c>
      <c r="I8" s="33">
        <f t="shared" si="1"/>
        <v>1.8560000000000001</v>
      </c>
      <c r="K8" s="19" t="str">
        <f>VLOOKUP($B$6:$B$15,Drugs_list!$C$9:$K$172,9,FALSE)</f>
        <v>1ml</v>
      </c>
    </row>
    <row r="9" spans="2:11" x14ac:dyDescent="0.25">
      <c r="B9" s="31" t="s">
        <v>402</v>
      </c>
      <c r="C9" s="32">
        <v>1</v>
      </c>
      <c r="D9" s="32">
        <v>1</v>
      </c>
      <c r="E9" s="32">
        <v>1</v>
      </c>
      <c r="F9" s="38">
        <v>1</v>
      </c>
      <c r="G9" s="32">
        <f t="shared" si="0"/>
        <v>1</v>
      </c>
      <c r="H9" s="33">
        <f>IF(G9=0,"",(VLOOKUP($B$6:$B$15,Drugs_list!$C$9:$K$172,7,FALSE)))</f>
        <v>2.0880000000000001</v>
      </c>
      <c r="I9" s="33">
        <f t="shared" si="1"/>
        <v>2.0880000000000001</v>
      </c>
      <c r="K9" s="19" t="str">
        <f>VLOOKUP($B$6:$B$15,Drugs_list!$C$9:$K$172,9,FALSE)</f>
        <v>1ml</v>
      </c>
    </row>
    <row r="10" spans="2:11" x14ac:dyDescent="0.25">
      <c r="B10" s="31" t="s">
        <v>448</v>
      </c>
      <c r="C10" s="32">
        <v>1</v>
      </c>
      <c r="D10" s="32">
        <v>1</v>
      </c>
      <c r="E10" s="32">
        <v>1</v>
      </c>
      <c r="F10" s="38">
        <v>0.5</v>
      </c>
      <c r="G10" s="32">
        <f t="shared" si="0"/>
        <v>0.5</v>
      </c>
      <c r="H10" s="33">
        <f>IF(G10=0,"",(VLOOKUP($B$6:$B$15,Drugs_list!$C$9:$K$172,7,FALSE)))</f>
        <v>41.76</v>
      </c>
      <c r="I10" s="33">
        <f t="shared" si="1"/>
        <v>20.88</v>
      </c>
      <c r="K10" s="19" t="str">
        <f>VLOOKUP($B$6:$B$15,Drugs_list!$C$9:$K$172,9,FALSE)</f>
        <v>1000ml</v>
      </c>
    </row>
    <row r="11" spans="2:11" x14ac:dyDescent="0.25">
      <c r="B11" s="31" t="s">
        <v>20</v>
      </c>
      <c r="C11" s="32">
        <v>3</v>
      </c>
      <c r="D11" s="32">
        <v>4</v>
      </c>
      <c r="E11" s="32">
        <v>1</v>
      </c>
      <c r="F11" s="38">
        <v>1</v>
      </c>
      <c r="G11" s="32">
        <f t="shared" si="0"/>
        <v>12</v>
      </c>
      <c r="H11" s="33">
        <f>IF(G11=0,"",(VLOOKUP($B$6:$B$15,Drugs_list!$C$9:$K$172,7,FALSE)))</f>
        <v>0.52200000000000002</v>
      </c>
      <c r="I11" s="33">
        <f t="shared" si="1"/>
        <v>6.2640000000000002</v>
      </c>
      <c r="K11" s="19" t="str">
        <f>VLOOKUP($B$6:$B$15,Drugs_list!$C$9:$K$172,9,FALSE)</f>
        <v>1tab</v>
      </c>
    </row>
    <row r="12" spans="2:11" x14ac:dyDescent="0.25">
      <c r="B12" s="31"/>
      <c r="C12" s="32"/>
      <c r="D12" s="32"/>
      <c r="E12" s="32"/>
      <c r="F12" s="38"/>
      <c r="G12" s="32">
        <f t="shared" si="0"/>
        <v>0</v>
      </c>
      <c r="H12" s="33" t="str">
        <f>IF(G12=0,"",(VLOOKUP($B$6:$B$15,Drugs_list!$C$9:$K$172,7,FALSE)))</f>
        <v/>
      </c>
      <c r="I12" s="33" t="str">
        <f t="shared" si="1"/>
        <v/>
      </c>
      <c r="K12" s="19" t="e">
        <f>VLOOKUP($B$6:$B$15,Drugs_list!$C$9:$K$172,9,FALSE)</f>
        <v>#N/A</v>
      </c>
    </row>
    <row r="13" spans="2:11" x14ac:dyDescent="0.25">
      <c r="B13" s="31"/>
      <c r="C13" s="32"/>
      <c r="D13" s="32"/>
      <c r="E13" s="32"/>
      <c r="F13" s="38"/>
      <c r="G13" s="32">
        <f t="shared" si="0"/>
        <v>0</v>
      </c>
      <c r="H13" s="33" t="str">
        <f>IF(G13=0,"",(VLOOKUP($B$6:$B$15,Drugs_list!$C$9:$K$172,7,FALSE)))</f>
        <v/>
      </c>
      <c r="I13" s="33" t="str">
        <f t="shared" si="1"/>
        <v/>
      </c>
      <c r="K13" s="19" t="e">
        <f>VLOOKUP($B$6:$B$15,Drugs_list!$C$9:$K$172,9,FALSE)</f>
        <v>#N/A</v>
      </c>
    </row>
    <row r="14" spans="2:11" x14ac:dyDescent="0.25">
      <c r="B14" s="31"/>
      <c r="C14" s="32"/>
      <c r="D14" s="32"/>
      <c r="E14" s="32"/>
      <c r="F14" s="38"/>
      <c r="G14" s="32">
        <f t="shared" si="0"/>
        <v>0</v>
      </c>
      <c r="H14" s="33" t="str">
        <f>IF(G14=0,"",(VLOOKUP($B$6:$B$15,Drugs_list!$C$9:$K$172,7,FALSE)))</f>
        <v/>
      </c>
      <c r="I14" s="33" t="str">
        <f t="shared" si="1"/>
        <v/>
      </c>
      <c r="K14" s="19" t="e">
        <f>VLOOKUP($B$6:$B$15,Drugs_list!$C$9:$K$172,9,FALSE)</f>
        <v>#N/A</v>
      </c>
    </row>
    <row r="15" spans="2:11" x14ac:dyDescent="0.25">
      <c r="B15" s="31"/>
      <c r="C15" s="32"/>
      <c r="D15" s="32"/>
      <c r="E15" s="32"/>
      <c r="F15" s="38"/>
      <c r="G15" s="32">
        <f t="shared" si="0"/>
        <v>0</v>
      </c>
      <c r="H15" s="33" t="str">
        <f>IF(G15=0,"",(VLOOKUP($B$6:$B$15,Drugs_list!$C$9:$K$172,7,FALSE)))</f>
        <v/>
      </c>
      <c r="I15" s="33" t="str">
        <f t="shared" si="1"/>
        <v/>
      </c>
      <c r="K15" s="19" t="e">
        <f>VLOOKUP($B$6:$B$15,Drugs_list!$C$9:$K$172,9,FALSE)</f>
        <v>#N/A</v>
      </c>
    </row>
    <row r="16" spans="2:11" x14ac:dyDescent="0.25">
      <c r="B16" s="10" t="s">
        <v>8</v>
      </c>
      <c r="C16" s="11"/>
      <c r="D16" s="11"/>
      <c r="E16" s="11"/>
      <c r="F16" s="11"/>
      <c r="G16" s="11"/>
      <c r="H16" s="11"/>
      <c r="I16" s="34">
        <f>SUM(I6:I15)</f>
        <v>43.177777777777784</v>
      </c>
    </row>
    <row r="19" spans="2:6" ht="15.75" x14ac:dyDescent="0.25">
      <c r="B19" s="206" t="s">
        <v>162</v>
      </c>
      <c r="C19" s="206"/>
      <c r="D19" s="206"/>
      <c r="E19" s="206"/>
      <c r="F19" s="206"/>
    </row>
    <row r="20" spans="2:6" ht="19.5" customHeight="1" x14ac:dyDescent="0.25">
      <c r="B20" s="12" t="s">
        <v>0</v>
      </c>
      <c r="C20" s="7" t="s">
        <v>1</v>
      </c>
      <c r="D20" s="7" t="s">
        <v>518</v>
      </c>
      <c r="E20" s="7" t="s">
        <v>159</v>
      </c>
      <c r="F20" s="7" t="s">
        <v>160</v>
      </c>
    </row>
    <row r="21" spans="2:6" x14ac:dyDescent="0.25">
      <c r="B21" s="31" t="s">
        <v>488</v>
      </c>
      <c r="C21" s="32">
        <v>1</v>
      </c>
      <c r="D21" s="38">
        <v>1</v>
      </c>
      <c r="E21" s="32">
        <f>IF(C21="","",(VLOOKUP($B$21:$B$30,Supplies_list!$C$8:$G$64,5,FALSE)))</f>
        <v>4.4219999999999997</v>
      </c>
      <c r="F21" s="32">
        <f>IF(C21="","",(C21*D21*E21))</f>
        <v>4.4219999999999997</v>
      </c>
    </row>
    <row r="22" spans="2:6" x14ac:dyDescent="0.25">
      <c r="B22" s="31" t="s">
        <v>504</v>
      </c>
      <c r="C22" s="32">
        <v>2</v>
      </c>
      <c r="D22" s="38">
        <v>1</v>
      </c>
      <c r="E22" s="32">
        <f>IF(C22="","",(VLOOKUP($B$21:$B$30,Supplies_list!$C$8:$G$64,5,FALSE)))</f>
        <v>4.4000000000000004</v>
      </c>
      <c r="F22" s="32">
        <f t="shared" ref="F22:F30" si="2">IF(C22="","",(C22*D22*E22))</f>
        <v>8.8000000000000007</v>
      </c>
    </row>
    <row r="23" spans="2:6" x14ac:dyDescent="0.25">
      <c r="B23" s="31" t="s">
        <v>149</v>
      </c>
      <c r="C23" s="32">
        <v>2</v>
      </c>
      <c r="D23" s="38">
        <v>1</v>
      </c>
      <c r="E23" s="32">
        <f>IF(C23="","",(VLOOKUP($B$21:$B$30,Supplies_list!$C$8:$G$64,5,FALSE)))</f>
        <v>3.3</v>
      </c>
      <c r="F23" s="32">
        <f t="shared" si="2"/>
        <v>6.6</v>
      </c>
    </row>
    <row r="24" spans="2:6" x14ac:dyDescent="0.25">
      <c r="B24" s="31" t="s">
        <v>517</v>
      </c>
      <c r="C24" s="36">
        <v>1</v>
      </c>
      <c r="D24" s="39">
        <v>0.5</v>
      </c>
      <c r="E24" s="32">
        <f>IF(C24="","",(VLOOKUP($B$21:$B$30,Supplies_list!$C$8:$G$64,5,FALSE)))</f>
        <v>48.583333333333329</v>
      </c>
      <c r="F24" s="32">
        <f t="shared" si="2"/>
        <v>24.291666666666664</v>
      </c>
    </row>
    <row r="25" spans="2:6" x14ac:dyDescent="0.25">
      <c r="B25" s="31" t="s">
        <v>486</v>
      </c>
      <c r="C25" s="32">
        <v>1</v>
      </c>
      <c r="D25" s="38">
        <v>0.5</v>
      </c>
      <c r="E25" s="32">
        <f>IF(C25="","",(VLOOKUP($B$21:$B$30,Supplies_list!$C$8:$G$64,5,FALSE)))</f>
        <v>3.3</v>
      </c>
      <c r="F25" s="32">
        <f t="shared" si="2"/>
        <v>1.65</v>
      </c>
    </row>
    <row r="26" spans="2:6" x14ac:dyDescent="0.25">
      <c r="B26" s="31" t="s">
        <v>519</v>
      </c>
      <c r="C26" s="32">
        <v>1</v>
      </c>
      <c r="D26" s="38">
        <v>1</v>
      </c>
      <c r="E26" s="32">
        <f>IF(C26="","",(VLOOKUP($B$21:$B$30,Supplies_list!$C$8:$G$64,5,FALSE)))</f>
        <v>55</v>
      </c>
      <c r="F26" s="32">
        <f t="shared" si="2"/>
        <v>55</v>
      </c>
    </row>
    <row r="27" spans="2:6" x14ac:dyDescent="0.25">
      <c r="B27" s="31" t="s">
        <v>158</v>
      </c>
      <c r="C27" s="32">
        <v>1</v>
      </c>
      <c r="D27" s="38">
        <v>0.5</v>
      </c>
      <c r="E27" s="32">
        <f>IF(C27="","",(VLOOKUP($B$21:$B$30,Supplies_list!$C$8:$G$64,5,FALSE)))</f>
        <v>60.5</v>
      </c>
      <c r="F27" s="32">
        <f t="shared" si="2"/>
        <v>30.25</v>
      </c>
    </row>
    <row r="28" spans="2:6" x14ac:dyDescent="0.25">
      <c r="B28" s="31"/>
      <c r="C28" s="32"/>
      <c r="D28" s="38"/>
      <c r="E28" s="32" t="str">
        <f>IF(C28="","",(VLOOKUP($B$21:$B$30,Supplies_list!$C$8:$G$64,5,FALSE)))</f>
        <v/>
      </c>
      <c r="F28" s="32" t="str">
        <f t="shared" si="2"/>
        <v/>
      </c>
    </row>
    <row r="29" spans="2:6" x14ac:dyDescent="0.25">
      <c r="B29" s="31"/>
      <c r="C29" s="32"/>
      <c r="D29" s="38"/>
      <c r="E29" s="32" t="str">
        <f>IF(C29="","",(VLOOKUP($B$21:$B$30,Supplies_list!$C$8:$G$64,5,FALSE)))</f>
        <v/>
      </c>
      <c r="F29" s="32" t="str">
        <f t="shared" si="2"/>
        <v/>
      </c>
    </row>
    <row r="30" spans="2:6" x14ac:dyDescent="0.25">
      <c r="B30" s="31"/>
      <c r="C30" s="32"/>
      <c r="D30" s="38"/>
      <c r="E30" s="32" t="str">
        <f>IF(C30="","",(VLOOKUP($B$21:$B$30,Supplies_list!$C$8:$G$64,5,FALSE)))</f>
        <v/>
      </c>
      <c r="F30" s="32" t="str">
        <f t="shared" si="2"/>
        <v/>
      </c>
    </row>
    <row r="31" spans="2:6" x14ac:dyDescent="0.25">
      <c r="B31" s="10" t="s">
        <v>8</v>
      </c>
      <c r="C31" s="11"/>
      <c r="D31" s="11"/>
      <c r="E31" s="11"/>
      <c r="F31" s="34">
        <f>SUM(F21:F30)</f>
        <v>131.01366666666667</v>
      </c>
    </row>
    <row r="35" spans="2:5" ht="15.75" x14ac:dyDescent="0.25">
      <c r="B35" s="206" t="s">
        <v>163</v>
      </c>
      <c r="C35" s="206"/>
      <c r="D35" s="206"/>
      <c r="E35" s="206"/>
    </row>
    <row r="36" spans="2:5" x14ac:dyDescent="0.25">
      <c r="B36" s="7" t="s">
        <v>0</v>
      </c>
      <c r="C36" s="7" t="s">
        <v>1</v>
      </c>
      <c r="D36" s="7" t="s">
        <v>159</v>
      </c>
      <c r="E36" s="7" t="s">
        <v>160</v>
      </c>
    </row>
    <row r="37" spans="2:5" x14ac:dyDescent="0.25">
      <c r="B37" s="31"/>
      <c r="C37" s="32"/>
      <c r="D37" s="32" t="str">
        <f>IF(B37="","",(VLOOKUP($B$37:$B$46,Lab_tests!$H$6:$I$47,2,FALSE)))</f>
        <v/>
      </c>
      <c r="E37" s="32" t="str">
        <f>IF(C37=0,"",(C37*D37))</f>
        <v/>
      </c>
    </row>
    <row r="38" spans="2:5" x14ac:dyDescent="0.25">
      <c r="B38" s="31"/>
      <c r="C38" s="32"/>
      <c r="D38" s="32" t="str">
        <f>IF(B38="","",(VLOOKUP($B$37:$B$46,Lab_tests!$H$6:$I$47,2,FALSE)))</f>
        <v/>
      </c>
      <c r="E38" s="32" t="str">
        <f t="shared" ref="E38:E46" si="3">IF(C38=0,"",(C38*D38))</f>
        <v/>
      </c>
    </row>
    <row r="39" spans="2:5" x14ac:dyDescent="0.25">
      <c r="B39" s="31"/>
      <c r="C39" s="32"/>
      <c r="D39" s="32" t="str">
        <f>IF(B39="","",(VLOOKUP($B$37:$B$46,Lab_tests!$H$6:$I$47,2,FALSE)))</f>
        <v/>
      </c>
      <c r="E39" s="32" t="str">
        <f t="shared" si="3"/>
        <v/>
      </c>
    </row>
    <row r="40" spans="2:5" x14ac:dyDescent="0.25">
      <c r="B40" s="31"/>
      <c r="C40" s="32"/>
      <c r="D40" s="32" t="str">
        <f>IF(B40="","",(VLOOKUP($B$37:$B$46,Lab_tests!$H$6:$I$47,2,FALSE)))</f>
        <v/>
      </c>
      <c r="E40" s="32" t="str">
        <f t="shared" si="3"/>
        <v/>
      </c>
    </row>
    <row r="41" spans="2:5" x14ac:dyDescent="0.25">
      <c r="B41" s="31"/>
      <c r="C41" s="32"/>
      <c r="D41" s="32" t="str">
        <f>IF(B41="","",(VLOOKUP($B$37:$B$46,Lab_tests!$H$6:$I$47,2,FALSE)))</f>
        <v/>
      </c>
      <c r="E41" s="32" t="str">
        <f t="shared" si="3"/>
        <v/>
      </c>
    </row>
    <row r="42" spans="2:5" x14ac:dyDescent="0.25">
      <c r="B42" s="31"/>
      <c r="C42" s="32"/>
      <c r="D42" s="32" t="str">
        <f>IF(B42="","",(VLOOKUP($B$37:$B$46,Lab_tests!$H$6:$I$47,2,FALSE)))</f>
        <v/>
      </c>
      <c r="E42" s="32" t="str">
        <f t="shared" si="3"/>
        <v/>
      </c>
    </row>
    <row r="43" spans="2:5" x14ac:dyDescent="0.25">
      <c r="B43" s="31"/>
      <c r="C43" s="32"/>
      <c r="D43" s="32" t="str">
        <f>IF(B43="","",(VLOOKUP($B$37:$B$46,Lab_tests!$H$6:$I$47,2,FALSE)))</f>
        <v/>
      </c>
      <c r="E43" s="32" t="str">
        <f t="shared" si="3"/>
        <v/>
      </c>
    </row>
    <row r="44" spans="2:5" x14ac:dyDescent="0.25">
      <c r="B44" s="31"/>
      <c r="C44" s="32"/>
      <c r="D44" s="32" t="str">
        <f>IF(B44="","",(VLOOKUP($B$37:$B$46,Lab_tests!$H$6:$I$47,2,FALSE)))</f>
        <v/>
      </c>
      <c r="E44" s="32" t="str">
        <f t="shared" si="3"/>
        <v/>
      </c>
    </row>
    <row r="45" spans="2:5" x14ac:dyDescent="0.25">
      <c r="B45" s="31"/>
      <c r="C45" s="32"/>
      <c r="D45" s="32" t="str">
        <f>IF(B45="","",(VLOOKUP($B$37:$B$46,Lab_tests!$H$6:$I$47,2,FALSE)))</f>
        <v/>
      </c>
      <c r="E45" s="32" t="str">
        <f t="shared" si="3"/>
        <v/>
      </c>
    </row>
    <row r="46" spans="2:5" x14ac:dyDescent="0.25">
      <c r="B46" s="31"/>
      <c r="C46" s="32"/>
      <c r="D46" s="32" t="str">
        <f>IF(B46="","",(VLOOKUP($B$37:$B$46,Lab_tests!$H$6:$I$47,2,FALSE)))</f>
        <v/>
      </c>
      <c r="E46" s="32" t="str">
        <f t="shared" si="3"/>
        <v/>
      </c>
    </row>
    <row r="47" spans="2:5" x14ac:dyDescent="0.25">
      <c r="B47" s="10" t="s">
        <v>8</v>
      </c>
      <c r="C47" s="11"/>
      <c r="D47" s="11"/>
      <c r="E47" s="34">
        <f>SUM(E37:E43)</f>
        <v>0</v>
      </c>
    </row>
  </sheetData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zoomScaleNormal="100" workbookViewId="0">
      <selection activeCell="N13" sqref="N13"/>
    </sheetView>
  </sheetViews>
  <sheetFormatPr defaultRowHeight="15" x14ac:dyDescent="0.25"/>
  <cols>
    <col min="1" max="1" width="9.140625" style="61"/>
    <col min="2" max="2" width="79.7109375" style="61" bestFit="1" customWidth="1"/>
    <col min="3" max="3" width="10" style="61" customWidth="1"/>
    <col min="4" max="4" width="9.85546875" style="61" customWidth="1"/>
    <col min="5" max="5" width="11.5703125" style="61" customWidth="1"/>
    <col min="6" max="6" width="9.5703125" style="61" customWidth="1"/>
    <col min="7" max="7" width="8.5703125" style="61" customWidth="1"/>
    <col min="8" max="8" width="11.5703125" style="61" customWidth="1"/>
    <col min="9" max="10" width="9.140625" style="61"/>
    <col min="11" max="11" width="0" style="61" hidden="1" customWidth="1"/>
    <col min="12" max="16384" width="9.140625" style="61"/>
  </cols>
  <sheetData>
    <row r="1" spans="2:11" x14ac:dyDescent="0.25">
      <c r="B1" s="60" t="s">
        <v>34</v>
      </c>
    </row>
    <row r="3" spans="2:11" ht="15.75" x14ac:dyDescent="0.25">
      <c r="B3" s="202" t="s">
        <v>161</v>
      </c>
      <c r="C3" s="202"/>
      <c r="D3" s="202"/>
      <c r="E3" s="202"/>
      <c r="F3" s="202"/>
      <c r="G3" s="202"/>
      <c r="H3" s="202"/>
      <c r="I3" s="202"/>
    </row>
    <row r="4" spans="2:11" ht="15" customHeight="1" x14ac:dyDescent="0.25">
      <c r="B4" s="214" t="s">
        <v>0</v>
      </c>
      <c r="C4" s="216" t="s">
        <v>5</v>
      </c>
      <c r="D4" s="216"/>
      <c r="E4" s="216" t="s">
        <v>6</v>
      </c>
      <c r="F4" s="217" t="s">
        <v>518</v>
      </c>
      <c r="G4" s="219" t="s">
        <v>3</v>
      </c>
      <c r="H4" s="220"/>
      <c r="I4" s="205" t="s">
        <v>9</v>
      </c>
    </row>
    <row r="5" spans="2:11" x14ac:dyDescent="0.25">
      <c r="B5" s="215"/>
      <c r="C5" s="179" t="s">
        <v>4</v>
      </c>
      <c r="D5" s="179" t="s">
        <v>7</v>
      </c>
      <c r="E5" s="216"/>
      <c r="F5" s="218"/>
      <c r="G5" s="172" t="s">
        <v>8</v>
      </c>
      <c r="H5" s="172" t="s">
        <v>2</v>
      </c>
      <c r="I5" s="205"/>
    </row>
    <row r="6" spans="2:11" x14ac:dyDescent="0.25">
      <c r="B6" s="62" t="s">
        <v>304</v>
      </c>
      <c r="C6" s="63">
        <v>90</v>
      </c>
      <c r="D6" s="63">
        <v>1</v>
      </c>
      <c r="E6" s="63">
        <v>1</v>
      </c>
      <c r="F6" s="64">
        <v>1</v>
      </c>
      <c r="G6" s="65">
        <f>C6*D6*E6*F6</f>
        <v>90</v>
      </c>
      <c r="H6" s="66">
        <f>IF(G6=0,"",(VLOOKUP($B$6:$B$15,Drugs_list!$C$9:$K$172,7,FALSE)))</f>
        <v>1.8560000000000001</v>
      </c>
      <c r="I6" s="66">
        <f>IF(G6=0,"",(G6*H6))</f>
        <v>167.04000000000002</v>
      </c>
      <c r="K6" s="61" t="str">
        <f>VLOOKUP($B$6:$B$15,Drugs_list!$C$9:$K$172,9,FALSE)</f>
        <v>1capsule</v>
      </c>
    </row>
    <row r="7" spans="2:11" x14ac:dyDescent="0.25">
      <c r="B7" s="62"/>
      <c r="C7" s="63"/>
      <c r="D7" s="63"/>
      <c r="E7" s="63"/>
      <c r="F7" s="64"/>
      <c r="G7" s="65">
        <f t="shared" ref="G7:G15" si="0">C7*D7*E7*F7</f>
        <v>0</v>
      </c>
      <c r="H7" s="66" t="str">
        <f>IF(G7=0,"",(VLOOKUP($B$6:$B$15,Drugs_list!$C$9:$K$172,7,FALSE)))</f>
        <v/>
      </c>
      <c r="I7" s="66" t="str">
        <f t="shared" ref="I7:I15" si="1">IF(G7=0,"",(G7*H7))</f>
        <v/>
      </c>
      <c r="K7" s="61" t="e">
        <f>VLOOKUP($B$6:$B$15,Drugs_list!$C$9:$K$172,9,FALSE)</f>
        <v>#N/A</v>
      </c>
    </row>
    <row r="8" spans="2:11" x14ac:dyDescent="0.25">
      <c r="B8" s="62"/>
      <c r="C8" s="63"/>
      <c r="D8" s="63"/>
      <c r="E8" s="63"/>
      <c r="F8" s="64"/>
      <c r="G8" s="65">
        <f t="shared" si="0"/>
        <v>0</v>
      </c>
      <c r="H8" s="66" t="str">
        <f>IF(G8=0,"",(VLOOKUP($B$6:$B$15,Drugs_list!$C$9:$K$172,7,FALSE)))</f>
        <v/>
      </c>
      <c r="I8" s="66" t="str">
        <f t="shared" si="1"/>
        <v/>
      </c>
      <c r="K8" s="61" t="e">
        <f>VLOOKUP($B$6:$B$15,Drugs_list!$C$9:$K$172,9,FALSE)</f>
        <v>#N/A</v>
      </c>
    </row>
    <row r="9" spans="2:11" x14ac:dyDescent="0.25">
      <c r="B9" s="62"/>
      <c r="C9" s="63"/>
      <c r="D9" s="63"/>
      <c r="E9" s="63"/>
      <c r="F9" s="64"/>
      <c r="G9" s="65">
        <f t="shared" si="0"/>
        <v>0</v>
      </c>
      <c r="H9" s="66" t="str">
        <f>IF(G9=0,"",(VLOOKUP($B$6:$B$15,Drugs_list!$C$9:$K$172,7,FALSE)))</f>
        <v/>
      </c>
      <c r="I9" s="66" t="str">
        <f t="shared" si="1"/>
        <v/>
      </c>
      <c r="K9" s="61" t="e">
        <f>VLOOKUP($B$6:$B$15,Drugs_list!$C$9:$K$172,9,FALSE)</f>
        <v>#N/A</v>
      </c>
    </row>
    <row r="10" spans="2:11" x14ac:dyDescent="0.25">
      <c r="B10" s="62"/>
      <c r="C10" s="63"/>
      <c r="D10" s="63"/>
      <c r="E10" s="63"/>
      <c r="F10" s="64"/>
      <c r="G10" s="65">
        <f t="shared" si="0"/>
        <v>0</v>
      </c>
      <c r="H10" s="66" t="str">
        <f>IF(G10=0,"",(VLOOKUP($B$6:$B$15,Drugs_list!$C$9:$K$172,7,FALSE)))</f>
        <v/>
      </c>
      <c r="I10" s="66" t="str">
        <f t="shared" si="1"/>
        <v/>
      </c>
      <c r="K10" s="61" t="e">
        <f>VLOOKUP($B$6:$B$15,Drugs_list!$C$9:$K$172,9,FALSE)</f>
        <v>#N/A</v>
      </c>
    </row>
    <row r="11" spans="2:11" x14ac:dyDescent="0.25">
      <c r="B11" s="62"/>
      <c r="C11" s="63"/>
      <c r="D11" s="63"/>
      <c r="E11" s="63"/>
      <c r="F11" s="64"/>
      <c r="G11" s="65">
        <f t="shared" si="0"/>
        <v>0</v>
      </c>
      <c r="H11" s="66" t="str">
        <f>IF(G11=0,"",(VLOOKUP($B$6:$B$15,Drugs_list!$C$9:$K$172,7,FALSE)))</f>
        <v/>
      </c>
      <c r="I11" s="66" t="str">
        <f t="shared" si="1"/>
        <v/>
      </c>
      <c r="K11" s="61" t="e">
        <f>VLOOKUP($B$6:$B$15,Drugs_list!$C$9:$K$172,9,FALSE)</f>
        <v>#N/A</v>
      </c>
    </row>
    <row r="12" spans="2:11" x14ac:dyDescent="0.25">
      <c r="B12" s="62"/>
      <c r="C12" s="63"/>
      <c r="D12" s="63"/>
      <c r="E12" s="63"/>
      <c r="F12" s="64"/>
      <c r="G12" s="65">
        <f t="shared" si="0"/>
        <v>0</v>
      </c>
      <c r="H12" s="66" t="str">
        <f>IF(G12=0,"",(VLOOKUP($B$6:$B$15,Drugs_list!$C$9:$K$172,7,FALSE)))</f>
        <v/>
      </c>
      <c r="I12" s="66" t="str">
        <f t="shared" si="1"/>
        <v/>
      </c>
      <c r="K12" s="61" t="e">
        <f>VLOOKUP($B$6:$B$15,Drugs_list!$C$9:$K$172,9,FALSE)</f>
        <v>#N/A</v>
      </c>
    </row>
    <row r="13" spans="2:11" x14ac:dyDescent="0.25">
      <c r="B13" s="62"/>
      <c r="C13" s="63"/>
      <c r="D13" s="63"/>
      <c r="E13" s="63"/>
      <c r="F13" s="64"/>
      <c r="G13" s="65">
        <f t="shared" si="0"/>
        <v>0</v>
      </c>
      <c r="H13" s="66" t="str">
        <f>IF(G13=0,"",(VLOOKUP($B$6:$B$15,Drugs_list!$C$9:$K$172,7,FALSE)))</f>
        <v/>
      </c>
      <c r="I13" s="66" t="str">
        <f t="shared" si="1"/>
        <v/>
      </c>
      <c r="K13" s="61" t="e">
        <f>VLOOKUP($B$6:$B$15,Drugs_list!$C$9:$K$172,9,FALSE)</f>
        <v>#N/A</v>
      </c>
    </row>
    <row r="14" spans="2:11" x14ac:dyDescent="0.25">
      <c r="B14" s="62"/>
      <c r="C14" s="63"/>
      <c r="D14" s="63"/>
      <c r="E14" s="63"/>
      <c r="F14" s="64"/>
      <c r="G14" s="65">
        <f t="shared" si="0"/>
        <v>0</v>
      </c>
      <c r="H14" s="66" t="str">
        <f>IF(G14=0,"",(VLOOKUP($B$6:$B$15,Drugs_list!$C$9:$K$172,7,FALSE)))</f>
        <v/>
      </c>
      <c r="I14" s="66" t="str">
        <f t="shared" si="1"/>
        <v/>
      </c>
      <c r="K14" s="61" t="e">
        <f>VLOOKUP($B$6:$B$15,Drugs_list!$C$9:$K$172,9,FALSE)</f>
        <v>#N/A</v>
      </c>
    </row>
    <row r="15" spans="2:11" x14ac:dyDescent="0.25">
      <c r="B15" s="62"/>
      <c r="C15" s="63"/>
      <c r="D15" s="63"/>
      <c r="E15" s="63"/>
      <c r="F15" s="64"/>
      <c r="G15" s="65">
        <f t="shared" si="0"/>
        <v>0</v>
      </c>
      <c r="H15" s="66" t="str">
        <f>IF(G15=0,"",(VLOOKUP($B$6:$B$15,Drugs_list!$C$9:$K$172,7,FALSE)))</f>
        <v/>
      </c>
      <c r="I15" s="66" t="str">
        <f t="shared" si="1"/>
        <v/>
      </c>
      <c r="K15" s="61" t="e">
        <f>VLOOKUP($B$6:$B$15,Drugs_list!$C$9:$K$172,9,FALSE)</f>
        <v>#N/A</v>
      </c>
    </row>
    <row r="16" spans="2:11" x14ac:dyDescent="0.25">
      <c r="B16" s="166" t="s">
        <v>8</v>
      </c>
      <c r="C16" s="173"/>
      <c r="D16" s="173"/>
      <c r="E16" s="173"/>
      <c r="F16" s="173"/>
      <c r="G16" s="173"/>
      <c r="H16" s="173"/>
      <c r="I16" s="167">
        <f>SUM(I6:I15)</f>
        <v>167.04000000000002</v>
      </c>
    </row>
    <row r="19" spans="2:6" ht="15.75" x14ac:dyDescent="0.25">
      <c r="B19" s="202" t="s">
        <v>162</v>
      </c>
      <c r="C19" s="202"/>
      <c r="D19" s="202"/>
      <c r="E19" s="202"/>
      <c r="F19" s="202"/>
    </row>
    <row r="20" spans="2:6" ht="19.5" customHeight="1" x14ac:dyDescent="0.25">
      <c r="B20" s="175" t="s">
        <v>0</v>
      </c>
      <c r="C20" s="172" t="s">
        <v>1</v>
      </c>
      <c r="D20" s="172" t="s">
        <v>518</v>
      </c>
      <c r="E20" s="172" t="s">
        <v>159</v>
      </c>
      <c r="F20" s="172" t="s">
        <v>160</v>
      </c>
    </row>
    <row r="21" spans="2:6" x14ac:dyDescent="0.25">
      <c r="B21" s="62" t="s">
        <v>306</v>
      </c>
      <c r="C21" s="63"/>
      <c r="D21" s="64"/>
      <c r="E21" s="65" t="str">
        <f>IF(C21="","",(VLOOKUP($B$21:$B$30,Supplies_list!$C$8:$G$64,5,FALSE)))</f>
        <v/>
      </c>
      <c r="F21" s="65" t="str">
        <f>IF(C21="","",(C21*D21*E21))</f>
        <v/>
      </c>
    </row>
    <row r="22" spans="2:6" x14ac:dyDescent="0.25">
      <c r="B22" s="62"/>
      <c r="C22" s="63"/>
      <c r="D22" s="64"/>
      <c r="E22" s="65" t="str">
        <f>IF(C22="","",(VLOOKUP($B$21:$B$30,Supplies_list!$C$8:$G$64,5,FALSE)))</f>
        <v/>
      </c>
      <c r="F22" s="65" t="str">
        <f t="shared" ref="F22:F30" si="2">IF(C22="","",(C22*D22*E22))</f>
        <v/>
      </c>
    </row>
    <row r="23" spans="2:6" x14ac:dyDescent="0.25">
      <c r="B23" s="62"/>
      <c r="C23" s="63"/>
      <c r="D23" s="64"/>
      <c r="E23" s="65" t="str">
        <f>IF(C23="","",(VLOOKUP($B$21:$B$30,Supplies_list!$C$8:$G$64,5,FALSE)))</f>
        <v/>
      </c>
      <c r="F23" s="65" t="str">
        <f t="shared" si="2"/>
        <v/>
      </c>
    </row>
    <row r="24" spans="2:6" x14ac:dyDescent="0.25">
      <c r="B24" s="62"/>
      <c r="C24" s="67"/>
      <c r="D24" s="68"/>
      <c r="E24" s="65" t="str">
        <f>IF(C24="","",(VLOOKUP($B$21:$B$30,Supplies_list!$C$8:$G$64,5,FALSE)))</f>
        <v/>
      </c>
      <c r="F24" s="65" t="str">
        <f t="shared" si="2"/>
        <v/>
      </c>
    </row>
    <row r="25" spans="2:6" x14ac:dyDescent="0.25">
      <c r="B25" s="62"/>
      <c r="C25" s="63"/>
      <c r="D25" s="64"/>
      <c r="E25" s="65" t="str">
        <f>IF(C25="","",(VLOOKUP($B$21:$B$30,Supplies_list!$C$8:$G$64,5,FALSE)))</f>
        <v/>
      </c>
      <c r="F25" s="65" t="str">
        <f t="shared" si="2"/>
        <v/>
      </c>
    </row>
    <row r="26" spans="2:6" x14ac:dyDescent="0.25">
      <c r="B26" s="62"/>
      <c r="C26" s="63"/>
      <c r="D26" s="64"/>
      <c r="E26" s="65" t="str">
        <f>IF(C26="","",(VLOOKUP($B$21:$B$30,Supplies_list!$C$8:$G$64,5,FALSE)))</f>
        <v/>
      </c>
      <c r="F26" s="65" t="str">
        <f t="shared" si="2"/>
        <v/>
      </c>
    </row>
    <row r="27" spans="2:6" x14ac:dyDescent="0.25">
      <c r="B27" s="62"/>
      <c r="C27" s="63"/>
      <c r="D27" s="64"/>
      <c r="E27" s="65" t="str">
        <f>IF(C27="","",(VLOOKUP($B$21:$B$30,Supplies_list!$C$8:$G$64,5,FALSE)))</f>
        <v/>
      </c>
      <c r="F27" s="65" t="str">
        <f t="shared" si="2"/>
        <v/>
      </c>
    </row>
    <row r="28" spans="2:6" x14ac:dyDescent="0.25">
      <c r="B28" s="62"/>
      <c r="C28" s="63"/>
      <c r="D28" s="64"/>
      <c r="E28" s="65" t="str">
        <f>IF(C28="","",(VLOOKUP($B$21:$B$30,Supplies_list!$C$8:$G$64,5,FALSE)))</f>
        <v/>
      </c>
      <c r="F28" s="65" t="str">
        <f t="shared" si="2"/>
        <v/>
      </c>
    </row>
    <row r="29" spans="2:6" x14ac:dyDescent="0.25">
      <c r="B29" s="62"/>
      <c r="C29" s="63"/>
      <c r="D29" s="64"/>
      <c r="E29" s="65" t="str">
        <f>IF(C29="","",(VLOOKUP($B$21:$B$30,Supplies_list!$C$8:$G$64,5,FALSE)))</f>
        <v/>
      </c>
      <c r="F29" s="65" t="str">
        <f t="shared" si="2"/>
        <v/>
      </c>
    </row>
    <row r="30" spans="2:6" x14ac:dyDescent="0.25">
      <c r="B30" s="62"/>
      <c r="C30" s="63"/>
      <c r="D30" s="64"/>
      <c r="E30" s="65" t="str">
        <f>IF(C30="","",(VLOOKUP($B$21:$B$30,Supplies_list!$C$8:$G$64,5,FALSE)))</f>
        <v/>
      </c>
      <c r="F30" s="65" t="str">
        <f t="shared" si="2"/>
        <v/>
      </c>
    </row>
    <row r="31" spans="2:6" x14ac:dyDescent="0.25">
      <c r="B31" s="166" t="s">
        <v>8</v>
      </c>
      <c r="C31" s="173"/>
      <c r="D31" s="173"/>
      <c r="E31" s="173"/>
      <c r="F31" s="167">
        <f>SUM(F21:F30)</f>
        <v>0</v>
      </c>
    </row>
    <row r="35" spans="2:5" ht="15.75" x14ac:dyDescent="0.25">
      <c r="B35" s="202" t="s">
        <v>163</v>
      </c>
      <c r="C35" s="202"/>
      <c r="D35" s="202"/>
      <c r="E35" s="202"/>
    </row>
    <row r="36" spans="2:5" x14ac:dyDescent="0.25">
      <c r="B36" s="172" t="s">
        <v>0</v>
      </c>
      <c r="C36" s="172" t="s">
        <v>1</v>
      </c>
      <c r="D36" s="172" t="s">
        <v>159</v>
      </c>
      <c r="E36" s="172" t="s">
        <v>160</v>
      </c>
    </row>
    <row r="37" spans="2:5" x14ac:dyDescent="0.25">
      <c r="B37" s="62"/>
      <c r="C37" s="63"/>
      <c r="D37" s="65" t="str">
        <f>IF(B37="","",(VLOOKUP($B$37:$B$46,Lab_tests!$H$6:$I$47,2,FALSE)))</f>
        <v/>
      </c>
      <c r="E37" s="65" t="str">
        <f>IF(C37=0,"",(C37*D37))</f>
        <v/>
      </c>
    </row>
    <row r="38" spans="2:5" x14ac:dyDescent="0.25">
      <c r="B38" s="62"/>
      <c r="C38" s="63"/>
      <c r="D38" s="65" t="str">
        <f>IF(B38="","",(VLOOKUP($B$37:$B$46,Lab_tests!$H$6:$I$47,2,FALSE)))</f>
        <v/>
      </c>
      <c r="E38" s="65" t="str">
        <f t="shared" ref="E38:E46" si="3">IF(C38=0,"",(C38*D38))</f>
        <v/>
      </c>
    </row>
    <row r="39" spans="2:5" x14ac:dyDescent="0.25">
      <c r="B39" s="62"/>
      <c r="C39" s="63"/>
      <c r="D39" s="65" t="str">
        <f>IF(B39="","",(VLOOKUP($B$37:$B$46,Lab_tests!$H$6:$I$47,2,FALSE)))</f>
        <v/>
      </c>
      <c r="E39" s="65" t="str">
        <f t="shared" si="3"/>
        <v/>
      </c>
    </row>
    <row r="40" spans="2:5" x14ac:dyDescent="0.25">
      <c r="B40" s="62"/>
      <c r="C40" s="63"/>
      <c r="D40" s="65" t="str">
        <f>IF(B40="","",(VLOOKUP($B$37:$B$46,Lab_tests!$H$6:$I$47,2,FALSE)))</f>
        <v/>
      </c>
      <c r="E40" s="65" t="str">
        <f t="shared" si="3"/>
        <v/>
      </c>
    </row>
    <row r="41" spans="2:5" x14ac:dyDescent="0.25">
      <c r="B41" s="62"/>
      <c r="C41" s="63"/>
      <c r="D41" s="65" t="str">
        <f>IF(B41="","",(VLOOKUP($B$37:$B$46,Lab_tests!$H$6:$I$47,2,FALSE)))</f>
        <v/>
      </c>
      <c r="E41" s="65" t="str">
        <f t="shared" si="3"/>
        <v/>
      </c>
    </row>
    <row r="42" spans="2:5" x14ac:dyDescent="0.25">
      <c r="B42" s="62"/>
      <c r="C42" s="63"/>
      <c r="D42" s="65" t="str">
        <f>IF(B42="","",(VLOOKUP($B$37:$B$46,Lab_tests!$H$6:$I$47,2,FALSE)))</f>
        <v/>
      </c>
      <c r="E42" s="65" t="str">
        <f t="shared" si="3"/>
        <v/>
      </c>
    </row>
    <row r="43" spans="2:5" x14ac:dyDescent="0.25">
      <c r="B43" s="62"/>
      <c r="C43" s="63"/>
      <c r="D43" s="65" t="str">
        <f>IF(B43="","",(VLOOKUP($B$37:$B$46,Lab_tests!$H$6:$I$47,2,FALSE)))</f>
        <v/>
      </c>
      <c r="E43" s="65" t="str">
        <f t="shared" si="3"/>
        <v/>
      </c>
    </row>
    <row r="44" spans="2:5" x14ac:dyDescent="0.25">
      <c r="B44" s="62"/>
      <c r="C44" s="63"/>
      <c r="D44" s="65" t="str">
        <f>IF(B44="","",(VLOOKUP($B$37:$B$46,Lab_tests!$H$6:$I$47,2,FALSE)))</f>
        <v/>
      </c>
      <c r="E44" s="65" t="str">
        <f t="shared" si="3"/>
        <v/>
      </c>
    </row>
    <row r="45" spans="2:5" x14ac:dyDescent="0.25">
      <c r="B45" s="62"/>
      <c r="C45" s="63"/>
      <c r="D45" s="65" t="str">
        <f>IF(B45="","",(VLOOKUP($B$37:$B$46,Lab_tests!$H$6:$I$47,2,FALSE)))</f>
        <v/>
      </c>
      <c r="E45" s="65" t="str">
        <f t="shared" si="3"/>
        <v/>
      </c>
    </row>
    <row r="46" spans="2:5" x14ac:dyDescent="0.25">
      <c r="B46" s="62"/>
      <c r="C46" s="63"/>
      <c r="D46" s="65" t="str">
        <f>IF(B46="","",(VLOOKUP($B$37:$B$46,Lab_tests!$H$6:$I$47,2,FALSE)))</f>
        <v/>
      </c>
      <c r="E46" s="65" t="str">
        <f t="shared" si="3"/>
        <v/>
      </c>
    </row>
    <row r="47" spans="2:5" x14ac:dyDescent="0.25">
      <c r="B47" s="166" t="s">
        <v>8</v>
      </c>
      <c r="C47" s="173"/>
      <c r="D47" s="173"/>
      <c r="E47" s="167">
        <f>SUM(E37:E43)</f>
        <v>0</v>
      </c>
    </row>
    <row r="49" spans="2:3" x14ac:dyDescent="0.25">
      <c r="B49" s="166" t="s">
        <v>0</v>
      </c>
      <c r="C49" s="172" t="s">
        <v>160</v>
      </c>
    </row>
    <row r="50" spans="2:3" x14ac:dyDescent="0.25">
      <c r="B50" s="69" t="s">
        <v>509</v>
      </c>
      <c r="C50" s="70">
        <f>I16</f>
        <v>167.04000000000002</v>
      </c>
    </row>
    <row r="51" spans="2:3" x14ac:dyDescent="0.25">
      <c r="B51" s="69" t="s">
        <v>148</v>
      </c>
      <c r="C51" s="70">
        <f>F31</f>
        <v>0</v>
      </c>
    </row>
    <row r="52" spans="2:3" x14ac:dyDescent="0.25">
      <c r="B52" s="69" t="s">
        <v>569</v>
      </c>
      <c r="C52" s="70">
        <f>E47</f>
        <v>0</v>
      </c>
    </row>
    <row r="53" spans="2:3" x14ac:dyDescent="0.25">
      <c r="B53" s="166" t="s">
        <v>8</v>
      </c>
      <c r="C53" s="176">
        <f>SUM(C50:C52)</f>
        <v>167.04000000000002</v>
      </c>
    </row>
  </sheetData>
  <sheetProtection algorithmName="SHA-512" hashValue="kGSsFSEqMyA+h4N8xJLr8CVnQEpMctOFWntr3SpaxjcEQCfP/TYgHP1wUXRjzd/lJj//A/s8WMbhw4U2SrW4Ng==" saltValue="ZfUIi6yfTtMoxTGZqKZZ0g==" spinCount="100000" sheet="1" objects="1" scenarios="1"/>
  <mergeCells count="9">
    <mergeCell ref="B19:F19"/>
    <mergeCell ref="B35:E35"/>
    <mergeCell ref="B3:I3"/>
    <mergeCell ref="B4:B5"/>
    <mergeCell ref="C4:D4"/>
    <mergeCell ref="E4:E5"/>
    <mergeCell ref="F4:F5"/>
    <mergeCell ref="G4:H4"/>
    <mergeCell ref="I4:I5"/>
  </mergeCells>
  <pageMargins left="0.25" right="0.25" top="0.75" bottom="0.75" header="0.3" footer="0.3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Supplies_list!$C$8:$C$64</xm:f>
          </x14:formula1>
          <xm:sqref>B21:B30</xm:sqref>
        </x14:dataValidation>
        <x14:dataValidation type="list" allowBlank="1" showInputMessage="1" showErrorMessage="1">
          <x14:formula1>
            <xm:f>Lab_tests!$H$6:$H$47</xm:f>
          </x14:formula1>
          <xm:sqref>B37:B46</xm:sqref>
        </x14:dataValidation>
        <x14:dataValidation type="list" allowBlank="1" showInputMessage="1" showErrorMessage="1">
          <x14:formula1>
            <xm:f>Drugs_list!$C$9:$C$172</xm:f>
          </x14:formula1>
          <xm:sqref>B6:B15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26</vt:i4>
      </vt:variant>
    </vt:vector>
  </HeadingPairs>
  <TitlesOfParts>
    <vt:vector size="56" baseType="lpstr">
      <vt:lpstr>Title</vt:lpstr>
      <vt:lpstr>BHU_Cost</vt:lpstr>
      <vt:lpstr>Summary_Intervention</vt:lpstr>
      <vt:lpstr>Pricing_2</vt:lpstr>
      <vt:lpstr>Sheet2</vt:lpstr>
      <vt:lpstr>Operating_Exp</vt:lpstr>
      <vt:lpstr>1.ANC</vt:lpstr>
      <vt:lpstr>Delivery_Assisted</vt:lpstr>
      <vt:lpstr>3.Post_partum</vt:lpstr>
      <vt:lpstr>5.Child_pneumonia</vt:lpstr>
      <vt:lpstr>8.Child_diarh_nodehy</vt:lpstr>
      <vt:lpstr>9.Child_diarh_some_dehyd</vt:lpstr>
      <vt:lpstr>11.Immunisation</vt:lpstr>
      <vt:lpstr>11.Child_Fever</vt:lpstr>
      <vt:lpstr>12.FP_condoms</vt:lpstr>
      <vt:lpstr>13.FP_Oral</vt:lpstr>
      <vt:lpstr>14.FP_Inject</vt:lpstr>
      <vt:lpstr>16.ECM_Cold</vt:lpstr>
      <vt:lpstr>28.Nut_MMS</vt:lpstr>
      <vt:lpstr>HR_Intervention</vt:lpstr>
      <vt:lpstr>Standard_temp</vt:lpstr>
      <vt:lpstr>HR_time</vt:lpstr>
      <vt:lpstr>Salary_cost_intervention</vt:lpstr>
      <vt:lpstr>Drugs_list</vt:lpstr>
      <vt:lpstr>Supplies_list</vt:lpstr>
      <vt:lpstr>Lab_tests</vt:lpstr>
      <vt:lpstr>Staff_cost</vt:lpstr>
      <vt:lpstr>Pay_scale</vt:lpstr>
      <vt:lpstr>Basic_demo</vt:lpstr>
      <vt:lpstr>Equipment</vt:lpstr>
      <vt:lpstr>a15pop</vt:lpstr>
      <vt:lpstr>aa</vt:lpstr>
      <vt:lpstr>ab</vt:lpstr>
      <vt:lpstr>above15_pop</vt:lpstr>
      <vt:lpstr>above5_pop</vt:lpstr>
      <vt:lpstr>apop</vt:lpstr>
      <vt:lpstr>child23_pop</vt:lpstr>
      <vt:lpstr>eco_scale</vt:lpstr>
      <vt:lpstr>epreg</vt:lpstr>
      <vt:lpstr>ex_usd</vt:lpstr>
      <vt:lpstr>fpop</vt:lpstr>
      <vt:lpstr>gpop</vt:lpstr>
      <vt:lpstr>Basic_demo!HFN</vt:lpstr>
      <vt:lpstr>indirect_sal</vt:lpstr>
      <vt:lpstr>lb_pop</vt:lpstr>
      <vt:lpstr>mpop</vt:lpstr>
      <vt:lpstr>Basic_demo!mwra</vt:lpstr>
      <vt:lpstr>mwra_pop</vt:lpstr>
      <vt:lpstr>perc_increase</vt:lpstr>
      <vt:lpstr>preg_pop</vt:lpstr>
      <vt:lpstr>'1.ANC'!Print_Area</vt:lpstr>
      <vt:lpstr>'3.Post_partum'!Print_Area</vt:lpstr>
      <vt:lpstr>u5_pop</vt:lpstr>
      <vt:lpstr>upop</vt:lpstr>
      <vt:lpstr>Basic_demo!ur</vt:lpstr>
      <vt:lpstr>wra</vt:lpstr>
    </vt:vector>
  </TitlesOfParts>
  <Manager>Afeef Mahmood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Costing of Essential Services Package KPK</dc:title>
  <dc:creator>Afeef Mahmood</dc:creator>
  <cp:lastModifiedBy>Afeef Mahmood</cp:lastModifiedBy>
  <cp:lastPrinted>2012-12-25T09:37:06Z</cp:lastPrinted>
  <dcterms:created xsi:type="dcterms:W3CDTF">2012-07-16T11:44:08Z</dcterms:created>
  <dcterms:modified xsi:type="dcterms:W3CDTF">2014-01-22T20:08:23Z</dcterms:modified>
</cp:coreProperties>
</file>