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eef Mahmood\Documents\My Docs\Projects\DFID\Technical Resource Facility\Costing Essential Health Package (Sindh)\Costing\Draft 2_Locked versions\"/>
    </mc:Choice>
  </mc:AlternateContent>
  <workbookProtection workbookAlgorithmName="SHA-512" workbookHashValue="sEuifXa9A+qSaUBzab/B2l2DFSz8HwDY3lWM8r0mKMnOAQ733KIxbOBBEZosdNSbvg1yyw024j2jlfmBW/VKnw==" workbookSaltValue="Jy6fhc9xLkaS2/01LalYRw==" workbookSpinCount="100000" lockStructure="1"/>
  <bookViews>
    <workbookView xWindow="120" yWindow="1245" windowWidth="7635" windowHeight="6600" tabRatio="968"/>
  </bookViews>
  <sheets>
    <sheet name="Title" sheetId="58" r:id="rId1"/>
    <sheet name="BHU_Cost" sheetId="50" state="hidden" r:id="rId2"/>
    <sheet name="Summary_Intervention" sheetId="47" r:id="rId3"/>
    <sheet name="Pricing_2" sheetId="56" state="hidden" r:id="rId4"/>
    <sheet name="Sheet2" sheetId="54" state="hidden" r:id="rId5"/>
    <sheet name="Operating_Exp" sheetId="49" r:id="rId6"/>
    <sheet name="1.ANC" sheetId="13" r:id="rId7"/>
    <sheet name="Delivery_Assisted" sheetId="18" state="hidden" r:id="rId8"/>
    <sheet name="2.Delivery" sheetId="62" r:id="rId9"/>
    <sheet name="3.Post_partum" sheetId="19" r:id="rId10"/>
    <sheet name="4.Newborn_care" sheetId="63" r:id="rId11"/>
    <sheet name="8.Child_diarh_nodehy" sheetId="25" r:id="rId12"/>
    <sheet name="11.Child_Fever" sheetId="28" r:id="rId13"/>
    <sheet name="12.FP_condoms" sheetId="30" r:id="rId14"/>
    <sheet name="13.FP_Oral" sheetId="31" r:id="rId15"/>
    <sheet name="14.FP_Inject" sheetId="32" r:id="rId16"/>
    <sheet name="15.FP_IUD" sheetId="64" r:id="rId17"/>
    <sheet name="HR_Intervention" sheetId="4" r:id="rId18"/>
    <sheet name="Standard_temp" sheetId="20" state="hidden" r:id="rId19"/>
    <sheet name="HR_time" sheetId="3" state="hidden" r:id="rId20"/>
    <sheet name="Salary_cost_intervention" sheetId="15" state="hidden" r:id="rId21"/>
    <sheet name="Drugs_list" sheetId="2" r:id="rId22"/>
    <sheet name="Supplies_list" sheetId="5" r:id="rId23"/>
    <sheet name="Lab_tests" sheetId="6" r:id="rId24"/>
    <sheet name="Staff_cost" sheetId="9" r:id="rId25"/>
    <sheet name="Pay_scale" sheetId="8" r:id="rId26"/>
    <sheet name="Basic_demo" sheetId="60" state="hidden" r:id="rId27"/>
    <sheet name="Equipment" sheetId="65" r:id="rId28"/>
  </sheets>
  <externalReferences>
    <externalReference r:id="rId29"/>
  </externalReferences>
  <definedNames>
    <definedName name="_xlnm._FilterDatabase" localSheetId="16">[1]Equipment!#REF!</definedName>
    <definedName name="_xlnm._FilterDatabase" localSheetId="8">[1]Equipment!#REF!</definedName>
    <definedName name="_xlnm._FilterDatabase" localSheetId="10">[1]Equipment!#REF!</definedName>
    <definedName name="_xlnm._FilterDatabase">#REF!</definedName>
    <definedName name="a15pop" localSheetId="16">[1]Basic_demo!$C$26</definedName>
    <definedName name="a15pop" localSheetId="8">[1]Basic_demo!$C$26</definedName>
    <definedName name="a15pop" localSheetId="10">[1]Basic_demo!$C$26</definedName>
    <definedName name="a15pop">Basic_demo!$C$26</definedName>
    <definedName name="aa">BHU_Cost!$C$29</definedName>
    <definedName name="ab" localSheetId="16">'[1]1.ANC'!$H$16</definedName>
    <definedName name="ab" localSheetId="8">'[1]1.ANC'!$H$16</definedName>
    <definedName name="ab" localSheetId="10">'[1]1.ANC'!$H$16</definedName>
    <definedName name="ab">'1.ANC'!$H$16</definedName>
    <definedName name="above15_pop" localSheetId="16">[1]Basic_demo!$E$26</definedName>
    <definedName name="above15_pop" localSheetId="8">[1]Basic_demo!$E$26</definedName>
    <definedName name="above15_pop" localSheetId="10">[1]Basic_demo!$E$26</definedName>
    <definedName name="above15_pop">Basic_demo!$E$26</definedName>
    <definedName name="above5_pop" localSheetId="16">[1]Basic_demo!$E$25</definedName>
    <definedName name="above5_pop" localSheetId="8">[1]Basic_demo!$E$25</definedName>
    <definedName name="above5_pop" localSheetId="10">[1]Basic_demo!$E$25</definedName>
    <definedName name="above5_pop">Basic_demo!$E$25</definedName>
    <definedName name="apop" localSheetId="16">[1]Basic_demo!$C$25</definedName>
    <definedName name="apop" localSheetId="8">[1]Basic_demo!$C$25</definedName>
    <definedName name="apop" localSheetId="10">[1]Basic_demo!$C$25</definedName>
    <definedName name="apop">Basic_demo!$C$25</definedName>
    <definedName name="buffer_stock" localSheetId="16">[1]Sheet1!$C$1</definedName>
    <definedName name="buffer_stock" localSheetId="8">[1]Sheet1!$C$1</definedName>
    <definedName name="buffer_stock" localSheetId="10">[1]Sheet1!$C$1</definedName>
    <definedName name="buffer_stock">#REF!</definedName>
    <definedName name="child23_pop" localSheetId="16">[1]Basic_demo!$E$21</definedName>
    <definedName name="child23_pop" localSheetId="8">[1]Basic_demo!$E$21</definedName>
    <definedName name="child23_pop" localSheetId="10">[1]Basic_demo!$E$21</definedName>
    <definedName name="child23_pop">Basic_demo!$E$21</definedName>
    <definedName name="eco_scale" localSheetId="16">[1]BHU_Cost!$F$33</definedName>
    <definedName name="eco_scale" localSheetId="8">[1]BHU_Cost!$F$33</definedName>
    <definedName name="eco_scale" localSheetId="10">[1]BHU_Cost!$F$33</definedName>
    <definedName name="eco_scale">BHU_Cost!$F$33</definedName>
    <definedName name="epreg" localSheetId="16">[1]Basic_demo!$C$28</definedName>
    <definedName name="epreg" localSheetId="8">[1]Basic_demo!$C$28</definedName>
    <definedName name="epreg" localSheetId="10">[1]Basic_demo!$C$28</definedName>
    <definedName name="epreg">Basic_demo!$C$28</definedName>
    <definedName name="ex_usd" localSheetId="16">[1]Summary_Intervention!$M$1</definedName>
    <definedName name="ex_usd" localSheetId="8">[1]Summary_Intervention!$M$1</definedName>
    <definedName name="ex_usd" localSheetId="10">[1]Summary_Intervention!$M$1</definedName>
    <definedName name="ex_usd">Summary_Intervention!$M$1</definedName>
    <definedName name="fem_pop">#REF!</definedName>
    <definedName name="female_pop">#REF!</definedName>
    <definedName name="fpop">Basic_demo!$C$15</definedName>
    <definedName name="gpop" localSheetId="16">[1]Basic_demo!$C$9</definedName>
    <definedName name="gpop" localSheetId="8">[1]Basic_demo!$C$9</definedName>
    <definedName name="gpop" localSheetId="10">[1]Basic_demo!$C$9</definedName>
    <definedName name="gpop">Basic_demo!$C$9</definedName>
    <definedName name="HFN" localSheetId="26">Basic_demo!$B$4</definedName>
    <definedName name="HFN">#REF!</definedName>
    <definedName name="indirect_sal" localSheetId="16">[1]Staff_cost!$F$32</definedName>
    <definedName name="indirect_sal" localSheetId="8">[1]Staff_cost!$F$32</definedName>
    <definedName name="indirect_sal" localSheetId="10">[1]Staff_cost!$F$32</definedName>
    <definedName name="indirect_sal">Staff_cost!$F$32</definedName>
    <definedName name="lb_pop" localSheetId="16">[1]Basic_demo!$E$23</definedName>
    <definedName name="lb_pop" localSheetId="8">[1]Basic_demo!$E$23</definedName>
    <definedName name="lb_pop" localSheetId="10">[1]Basic_demo!$E$23</definedName>
    <definedName name="lb_pop">Basic_demo!$E$23</definedName>
    <definedName name="male_pop">#REF!</definedName>
    <definedName name="mpop">Basic_demo!$C$14</definedName>
    <definedName name="mwra" localSheetId="26">Basic_demo!$C$18</definedName>
    <definedName name="Mwra">#REF!</definedName>
    <definedName name="mwra_pop" localSheetId="16">[1]Basic_demo!$E$18</definedName>
    <definedName name="mwra_pop" localSheetId="8">[1]Basic_demo!$E$18</definedName>
    <definedName name="mwra_pop" localSheetId="10">[1]Basic_demo!$E$18</definedName>
    <definedName name="mwra_pop">Basic_demo!$E$18</definedName>
    <definedName name="perc_increase" localSheetId="16">[1]BHU_Cost!$E$33</definedName>
    <definedName name="perc_increase" localSheetId="8">[1]BHU_Cost!$E$33</definedName>
    <definedName name="perc_increase" localSheetId="10">[1]BHU_Cost!$E$33</definedName>
    <definedName name="perc_increase">BHU_Cost!$E$33</definedName>
    <definedName name="pop_1" localSheetId="16">[1]Sheet1!$G$1</definedName>
    <definedName name="pop_1" localSheetId="8">[1]Sheet1!$G$1</definedName>
    <definedName name="pop_1" localSheetId="10">[1]Sheet1!$G$1</definedName>
    <definedName name="pop_1">#REF!</definedName>
    <definedName name="pop_2" localSheetId="16">[1]Sheet1!$K$1</definedName>
    <definedName name="pop_2" localSheetId="8">[1]Sheet1!$K$1</definedName>
    <definedName name="pop_2" localSheetId="10">[1]Sheet1!$K$1</definedName>
    <definedName name="pop_2">#REF!</definedName>
    <definedName name="pop_3" localSheetId="16">[1]Sheet1!$O$1</definedName>
    <definedName name="pop_3" localSheetId="8">[1]Sheet1!$O$1</definedName>
    <definedName name="pop_3" localSheetId="10">[1]Sheet1!$O$1</definedName>
    <definedName name="pop_3">#REF!</definedName>
    <definedName name="Pop_4" localSheetId="16">[1]Sheet1!$S$1</definedName>
    <definedName name="Pop_4" localSheetId="8">[1]Sheet1!$S$1</definedName>
    <definedName name="Pop_4" localSheetId="10">[1]Sheet1!$S$1</definedName>
    <definedName name="Pop_4">#REF!</definedName>
    <definedName name="pop_5" localSheetId="16">[1]Sheet1!#REF!</definedName>
    <definedName name="pop_5" localSheetId="8">[1]Sheet1!#REF!</definedName>
    <definedName name="pop_5" localSheetId="10">[1]Sheet1!#REF!</definedName>
    <definedName name="pop_5">#REF!</definedName>
    <definedName name="preg_pop" localSheetId="16">[1]Basic_demo!$E$28</definedName>
    <definedName name="preg_pop" localSheetId="8">[1]Basic_demo!$E$28</definedName>
    <definedName name="preg_pop" localSheetId="10">[1]Basic_demo!$E$28</definedName>
    <definedName name="preg_pop">Basic_demo!$E$28</definedName>
    <definedName name="_xlnm.Print_Area" localSheetId="6">'1.ANC'!$B$1:$H$53</definedName>
    <definedName name="_xlnm.Print_Area" localSheetId="9">'3.Post_partum'!$B$1:$I$53</definedName>
    <definedName name="rhc">#REF!</definedName>
    <definedName name="rhc_pop">#REF!</definedName>
    <definedName name="u5_pop" localSheetId="16">[1]Basic_demo!$E$20</definedName>
    <definedName name="u5_pop" localSheetId="8">[1]Basic_demo!$E$20</definedName>
    <definedName name="u5_pop" localSheetId="10">[1]Basic_demo!$E$20</definedName>
    <definedName name="u5_pop">Basic_demo!$E$20</definedName>
    <definedName name="upop" localSheetId="16">[1]Basic_demo!$C$20</definedName>
    <definedName name="upop" localSheetId="8">[1]Basic_demo!$C$20</definedName>
    <definedName name="upop" localSheetId="10">[1]Basic_demo!$C$20</definedName>
    <definedName name="upop">Basic_demo!$C$20</definedName>
    <definedName name="ur" localSheetId="26">Basic_demo!$B$2</definedName>
    <definedName name="ur">#REF!</definedName>
    <definedName name="wra">Basic_demo!$C$17</definedName>
    <definedName name="wra_pop">#REF!</definedName>
  </definedNames>
  <calcPr calcId="152511"/>
</workbook>
</file>

<file path=xl/calcChain.xml><?xml version="1.0" encoding="utf-8"?>
<calcChain xmlns="http://schemas.openxmlformats.org/spreadsheetml/2006/main">
  <c r="I6" i="47" l="1"/>
  <c r="I7" i="47"/>
  <c r="I8" i="47"/>
  <c r="I9" i="47"/>
  <c r="I10" i="47"/>
  <c r="I11" i="47"/>
  <c r="I12" i="47"/>
  <c r="I13" i="47"/>
  <c r="I5" i="47"/>
  <c r="F23" i="65" l="1"/>
  <c r="G23" i="65" s="1"/>
  <c r="F24" i="65"/>
  <c r="G24" i="65" s="1"/>
  <c r="F5" i="65" l="1"/>
  <c r="G5" i="65" s="1"/>
  <c r="F6" i="65"/>
  <c r="G6" i="65" s="1"/>
  <c r="F7" i="65"/>
  <c r="G7" i="65" s="1"/>
  <c r="F8" i="65"/>
  <c r="G8" i="65" s="1"/>
  <c r="F9" i="65"/>
  <c r="G9" i="65" s="1"/>
  <c r="F10" i="65"/>
  <c r="G10" i="65" s="1"/>
  <c r="F11" i="65"/>
  <c r="G11" i="65" s="1"/>
  <c r="F12" i="65"/>
  <c r="G12" i="65" s="1"/>
  <c r="F13" i="65"/>
  <c r="G13" i="65" s="1"/>
  <c r="F14" i="65"/>
  <c r="G14" i="65" s="1"/>
  <c r="F15" i="65"/>
  <c r="G15" i="65" s="1"/>
  <c r="F16" i="65"/>
  <c r="G16" i="65" s="1"/>
  <c r="F17" i="65"/>
  <c r="G17" i="65" s="1"/>
  <c r="F18" i="65"/>
  <c r="G18" i="65" s="1"/>
  <c r="F19" i="65"/>
  <c r="G19" i="65" s="1"/>
  <c r="F20" i="65"/>
  <c r="G20" i="65" s="1"/>
  <c r="F21" i="65"/>
  <c r="G21" i="65" s="1"/>
  <c r="F22" i="65"/>
  <c r="G22" i="65" s="1"/>
  <c r="F4" i="65"/>
  <c r="G4" i="65" s="1"/>
  <c r="G25" i="65" l="1"/>
  <c r="D7" i="49" s="1"/>
  <c r="E18" i="4"/>
  <c r="F6" i="9"/>
  <c r="E46" i="64"/>
  <c r="D46" i="64"/>
  <c r="E45" i="64"/>
  <c r="D45" i="64"/>
  <c r="E44" i="64"/>
  <c r="D44" i="64"/>
  <c r="E43" i="64"/>
  <c r="D43" i="64"/>
  <c r="E42" i="64"/>
  <c r="D42" i="64"/>
  <c r="E41" i="64"/>
  <c r="D41" i="64"/>
  <c r="E40" i="64"/>
  <c r="D40" i="64"/>
  <c r="E39" i="64"/>
  <c r="D39" i="64"/>
  <c r="D38" i="64"/>
  <c r="E38" i="64" s="1"/>
  <c r="D37" i="64"/>
  <c r="E37" i="64" s="1"/>
  <c r="F30" i="64"/>
  <c r="E30" i="64"/>
  <c r="F29" i="64"/>
  <c r="E29" i="64"/>
  <c r="F28" i="64"/>
  <c r="E28" i="64"/>
  <c r="F27" i="64"/>
  <c r="E27" i="64"/>
  <c r="F26" i="64"/>
  <c r="E26" i="64"/>
  <c r="F25" i="64"/>
  <c r="E25" i="64"/>
  <c r="F24" i="64"/>
  <c r="E24" i="64"/>
  <c r="E23" i="64"/>
  <c r="F23" i="64" s="1"/>
  <c r="E22" i="64"/>
  <c r="F22" i="64" s="1"/>
  <c r="E21" i="64"/>
  <c r="F21" i="64" s="1"/>
  <c r="F31" i="64" s="1"/>
  <c r="C51" i="64" s="1"/>
  <c r="K15" i="64"/>
  <c r="G15" i="64"/>
  <c r="I15" i="64" s="1"/>
  <c r="K14" i="64"/>
  <c r="G14" i="64"/>
  <c r="H14" i="64" s="1"/>
  <c r="K13" i="64"/>
  <c r="G13" i="64"/>
  <c r="I13" i="64" s="1"/>
  <c r="K12" i="64"/>
  <c r="I12" i="64"/>
  <c r="H12" i="64"/>
  <c r="G12" i="64"/>
  <c r="K11" i="64"/>
  <c r="G11" i="64"/>
  <c r="I11" i="64" s="1"/>
  <c r="K10" i="64"/>
  <c r="I10" i="64"/>
  <c r="H10" i="64"/>
  <c r="G10" i="64"/>
  <c r="K9" i="64"/>
  <c r="G9" i="64"/>
  <c r="H9" i="64" s="1"/>
  <c r="K8" i="64"/>
  <c r="I8" i="64"/>
  <c r="H8" i="64"/>
  <c r="G8" i="64"/>
  <c r="K7" i="64"/>
  <c r="G7" i="64"/>
  <c r="K6" i="64"/>
  <c r="H6" i="64"/>
  <c r="G6" i="64"/>
  <c r="I6" i="64" s="1"/>
  <c r="E46" i="63"/>
  <c r="D46" i="63"/>
  <c r="E45" i="63"/>
  <c r="D45" i="63"/>
  <c r="E44" i="63"/>
  <c r="D44" i="63"/>
  <c r="E43" i="63"/>
  <c r="D43" i="63"/>
  <c r="E42" i="63"/>
  <c r="D42" i="63"/>
  <c r="E41" i="63"/>
  <c r="D41" i="63"/>
  <c r="E40" i="63"/>
  <c r="D40" i="63"/>
  <c r="E39" i="63"/>
  <c r="D39" i="63"/>
  <c r="E38" i="63"/>
  <c r="E47" i="63" s="1"/>
  <c r="C52" i="63" s="1"/>
  <c r="D38" i="63"/>
  <c r="E37" i="63"/>
  <c r="D37" i="63"/>
  <c r="F30" i="63"/>
  <c r="E30" i="63"/>
  <c r="F29" i="63"/>
  <c r="E29" i="63"/>
  <c r="F28" i="63"/>
  <c r="E28" i="63"/>
  <c r="F27" i="63"/>
  <c r="E27" i="63"/>
  <c r="F26" i="63"/>
  <c r="E26" i="63"/>
  <c r="F25" i="63"/>
  <c r="E25" i="63"/>
  <c r="E24" i="63"/>
  <c r="F24" i="63" s="1"/>
  <c r="E23" i="63"/>
  <c r="F23" i="63" s="1"/>
  <c r="E22" i="63"/>
  <c r="F22" i="63" s="1"/>
  <c r="E21" i="63"/>
  <c r="F21" i="63" s="1"/>
  <c r="K15" i="63"/>
  <c r="I15" i="63"/>
  <c r="G15" i="63"/>
  <c r="H15" i="63" s="1"/>
  <c r="K14" i="63"/>
  <c r="I14" i="63"/>
  <c r="H14" i="63"/>
  <c r="G14" i="63"/>
  <c r="K13" i="63"/>
  <c r="G13" i="63"/>
  <c r="H13" i="63" s="1"/>
  <c r="K12" i="63"/>
  <c r="I12" i="63"/>
  <c r="G12" i="63"/>
  <c r="H12" i="63" s="1"/>
  <c r="K11" i="63"/>
  <c r="I11" i="63"/>
  <c r="G11" i="63"/>
  <c r="H11" i="63" s="1"/>
  <c r="K10" i="63"/>
  <c r="G10" i="63"/>
  <c r="H10" i="63" s="1"/>
  <c r="I10" i="63" s="1"/>
  <c r="K9" i="63"/>
  <c r="G9" i="63"/>
  <c r="H9" i="63" s="1"/>
  <c r="I9" i="63" s="1"/>
  <c r="K8" i="63"/>
  <c r="G8" i="63"/>
  <c r="H8" i="63" s="1"/>
  <c r="I8" i="63" s="1"/>
  <c r="K7" i="63"/>
  <c r="G7" i="63"/>
  <c r="H7" i="63" s="1"/>
  <c r="I7" i="63" s="1"/>
  <c r="K6" i="63"/>
  <c r="H6" i="63"/>
  <c r="I6" i="63" s="1"/>
  <c r="G6" i="63"/>
  <c r="H11" i="62"/>
  <c r="G11" i="62"/>
  <c r="I11" i="62" s="1"/>
  <c r="E46" i="62"/>
  <c r="D46" i="62"/>
  <c r="E45" i="62"/>
  <c r="D45" i="62"/>
  <c r="E44" i="62"/>
  <c r="D44" i="62"/>
  <c r="E43" i="62"/>
  <c r="D43" i="62"/>
  <c r="E42" i="62"/>
  <c r="D42" i="62"/>
  <c r="E41" i="62"/>
  <c r="D41" i="62"/>
  <c r="E40" i="62"/>
  <c r="D40" i="62"/>
  <c r="E39" i="62"/>
  <c r="D39" i="62"/>
  <c r="E38" i="62"/>
  <c r="D38" i="62"/>
  <c r="E37" i="62"/>
  <c r="D37" i="62"/>
  <c r="F30" i="62"/>
  <c r="E30" i="62"/>
  <c r="F29" i="62"/>
  <c r="E29" i="62"/>
  <c r="E28" i="62"/>
  <c r="F28" i="62" s="1"/>
  <c r="E27" i="62"/>
  <c r="F27" i="62" s="1"/>
  <c r="E26" i="62"/>
  <c r="F26" i="62" s="1"/>
  <c r="E25" i="62"/>
  <c r="F25" i="62" s="1"/>
  <c r="F24" i="62"/>
  <c r="E24" i="62"/>
  <c r="E23" i="62"/>
  <c r="F23" i="62" s="1"/>
  <c r="E22" i="62"/>
  <c r="F22" i="62" s="1"/>
  <c r="E21" i="62"/>
  <c r="F21" i="62" s="1"/>
  <c r="K15" i="62"/>
  <c r="G15" i="62"/>
  <c r="I15" i="62" s="1"/>
  <c r="K14" i="62"/>
  <c r="G14" i="62"/>
  <c r="I14" i="62" s="1"/>
  <c r="K13" i="62"/>
  <c r="G13" i="62"/>
  <c r="I13" i="62" s="1"/>
  <c r="K12" i="62"/>
  <c r="G12" i="62"/>
  <c r="H12" i="62" s="1"/>
  <c r="K10" i="62"/>
  <c r="G10" i="62"/>
  <c r="K9" i="62"/>
  <c r="G9" i="62"/>
  <c r="K8" i="62"/>
  <c r="G8" i="62"/>
  <c r="K7" i="62"/>
  <c r="G7" i="62"/>
  <c r="K6" i="62"/>
  <c r="G6" i="62"/>
  <c r="E47" i="62" l="1"/>
  <c r="C52" i="62" s="1"/>
  <c r="I13" i="63"/>
  <c r="I16" i="63" s="1"/>
  <c r="C50" i="63" s="1"/>
  <c r="C53" i="63" s="1"/>
  <c r="I14" i="64"/>
  <c r="F31" i="63"/>
  <c r="C51" i="63" s="1"/>
  <c r="E47" i="64"/>
  <c r="C52" i="64" s="1"/>
  <c r="H7" i="64"/>
  <c r="I7" i="64" s="1"/>
  <c r="I16" i="64" s="1"/>
  <c r="C50" i="64" s="1"/>
  <c r="C53" i="64" s="1"/>
  <c r="F13" i="47" s="1"/>
  <c r="H13" i="64"/>
  <c r="I9" i="64"/>
  <c r="H11" i="64"/>
  <c r="H15" i="64"/>
  <c r="F31" i="62"/>
  <c r="C51" i="62" s="1"/>
  <c r="H6" i="62"/>
  <c r="I6" i="62" s="1"/>
  <c r="I12" i="62"/>
  <c r="H8" i="62"/>
  <c r="I8" i="62" s="1"/>
  <c r="H10" i="62"/>
  <c r="I10" i="62" s="1"/>
  <c r="H14" i="62"/>
  <c r="H7" i="62"/>
  <c r="I7" i="62" s="1"/>
  <c r="H9" i="62"/>
  <c r="I9" i="62" s="1"/>
  <c r="H13" i="62"/>
  <c r="H15" i="62"/>
  <c r="I16" i="62" l="1"/>
  <c r="C50" i="62" s="1"/>
  <c r="C53" i="62" s="1"/>
  <c r="F6" i="47" s="1"/>
  <c r="F6" i="13" l="1"/>
  <c r="D6" i="49" l="1"/>
  <c r="D23" i="4"/>
  <c r="D21" i="4"/>
  <c r="D19" i="4"/>
  <c r="I175" i="2" l="1"/>
  <c r="B20" i="60" l="1"/>
  <c r="B21" i="60" s="1"/>
  <c r="C21" i="60" s="1"/>
  <c r="B14" i="60"/>
  <c r="B15" i="60" s="1"/>
  <c r="B9" i="60"/>
  <c r="B26" i="60" s="1"/>
  <c r="C26" i="60" s="1"/>
  <c r="B25" i="60" l="1"/>
  <c r="B12" i="60"/>
  <c r="B44" i="60" s="1"/>
  <c r="B17" i="60"/>
  <c r="C15" i="60"/>
  <c r="C14" i="60"/>
  <c r="C20" i="60"/>
  <c r="E20" i="60" s="1"/>
  <c r="B23" i="60"/>
  <c r="C9" i="60"/>
  <c r="B11" i="60"/>
  <c r="C25" i="60" l="1"/>
  <c r="E25" i="60" s="1"/>
  <c r="E26" i="60"/>
  <c r="E21" i="60"/>
  <c r="B39" i="60"/>
  <c r="C23" i="60"/>
  <c r="B38" i="60"/>
  <c r="B37" i="60"/>
  <c r="B36" i="60"/>
  <c r="B28" i="60"/>
  <c r="B18" i="60"/>
  <c r="C18" i="60" s="1"/>
  <c r="E18" i="60" s="1"/>
  <c r="C17" i="60"/>
  <c r="C28" i="60" l="1"/>
  <c r="E28" i="60" s="1"/>
  <c r="E23" i="60"/>
  <c r="H1" i="9"/>
  <c r="Q27" i="9"/>
  <c r="V27" i="9"/>
  <c r="Q26" i="9"/>
  <c r="V26" i="9"/>
  <c r="L23" i="9"/>
  <c r="M23" i="9" s="1"/>
  <c r="N23" i="9" s="1"/>
  <c r="Q25" i="9"/>
  <c r="V25" i="9"/>
  <c r="Q24" i="9"/>
  <c r="V24" i="9"/>
  <c r="Q23" i="9"/>
  <c r="V23" i="9"/>
  <c r="I170" i="2" l="1"/>
  <c r="V4" i="9" l="1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G3" i="56" l="1"/>
  <c r="F3" i="56"/>
  <c r="E3" i="56"/>
  <c r="D3" i="56"/>
  <c r="C3" i="56"/>
  <c r="C3" i="54" l="1"/>
  <c r="T4" i="50" l="1"/>
  <c r="B60" i="50"/>
  <c r="B45" i="50"/>
  <c r="D40" i="50"/>
  <c r="E40" i="50"/>
  <c r="F40" i="50"/>
  <c r="C40" i="50"/>
  <c r="F38" i="50"/>
  <c r="E38" i="50"/>
  <c r="D38" i="50"/>
  <c r="C38" i="50"/>
  <c r="B40" i="50"/>
  <c r="B42" i="50"/>
  <c r="B43" i="50"/>
  <c r="B44" i="50"/>
  <c r="B41" i="50"/>
  <c r="F29" i="50"/>
  <c r="E29" i="50"/>
  <c r="D29" i="50"/>
  <c r="C29" i="50"/>
  <c r="F3" i="50"/>
  <c r="E3" i="50"/>
  <c r="D3" i="50"/>
  <c r="C3" i="50"/>
  <c r="T5" i="50" l="1"/>
  <c r="T6" i="50" s="1"/>
  <c r="T7" i="50" s="1"/>
  <c r="T8" i="50" s="1"/>
  <c r="T9" i="50" s="1"/>
  <c r="T10" i="50" s="1"/>
  <c r="F33" i="50" l="1"/>
  <c r="C7" i="49" l="1"/>
  <c r="Q5" i="9" l="1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4" i="9"/>
  <c r="C7" i="13"/>
  <c r="F8" i="8" l="1"/>
  <c r="G8" i="8" s="1"/>
  <c r="H8" i="8" s="1"/>
  <c r="F9" i="8"/>
  <c r="F10" i="8"/>
  <c r="G10" i="8" s="1"/>
  <c r="H10" i="8" s="1"/>
  <c r="F16" i="8"/>
  <c r="G16" i="8" s="1"/>
  <c r="H16" i="8" s="1"/>
  <c r="F17" i="8"/>
  <c r="G17" i="8" s="1"/>
  <c r="H17" i="8" s="1"/>
  <c r="F18" i="8"/>
  <c r="F5" i="8"/>
  <c r="G5" i="8" s="1"/>
  <c r="H5" i="8" s="1"/>
  <c r="F25" i="9" s="1"/>
  <c r="E6" i="8"/>
  <c r="F6" i="8" s="1"/>
  <c r="G6" i="8" s="1"/>
  <c r="H6" i="8" s="1"/>
  <c r="E7" i="8"/>
  <c r="F7" i="8" s="1"/>
  <c r="G7" i="8" s="1"/>
  <c r="H7" i="8" s="1"/>
  <c r="E8" i="8"/>
  <c r="E9" i="8"/>
  <c r="E10" i="8"/>
  <c r="E11" i="8"/>
  <c r="F11" i="8" s="1"/>
  <c r="G11" i="8" s="1"/>
  <c r="H11" i="8" s="1"/>
  <c r="F23" i="9" s="1"/>
  <c r="E12" i="8"/>
  <c r="F12" i="8" s="1"/>
  <c r="G12" i="8" s="1"/>
  <c r="H12" i="8" s="1"/>
  <c r="E13" i="8"/>
  <c r="F13" i="8" s="1"/>
  <c r="G13" i="8" s="1"/>
  <c r="H13" i="8" s="1"/>
  <c r="F27" i="9" s="1"/>
  <c r="E14" i="8"/>
  <c r="E15" i="8"/>
  <c r="F15" i="8" s="1"/>
  <c r="G15" i="8" s="1"/>
  <c r="H15" i="8" s="1"/>
  <c r="F26" i="9" s="1"/>
  <c r="E16" i="8"/>
  <c r="E17" i="8"/>
  <c r="E18" i="8"/>
  <c r="G18" i="8" s="1"/>
  <c r="H18" i="8" s="1"/>
  <c r="E19" i="8"/>
  <c r="F19" i="8" s="1"/>
  <c r="G19" i="8" s="1"/>
  <c r="H19" i="8" s="1"/>
  <c r="E20" i="8"/>
  <c r="F20" i="8" s="1"/>
  <c r="G20" i="8" s="1"/>
  <c r="H20" i="8" s="1"/>
  <c r="E21" i="8"/>
  <c r="E22" i="8"/>
  <c r="F22" i="8" s="1"/>
  <c r="G22" i="8" s="1"/>
  <c r="H22" i="8" s="1"/>
  <c r="E23" i="8"/>
  <c r="F23" i="8" s="1"/>
  <c r="G23" i="8" s="1"/>
  <c r="H23" i="8" s="1"/>
  <c r="E5" i="8"/>
  <c r="F21" i="8" l="1"/>
  <c r="G21" i="8" s="1"/>
  <c r="H21" i="8" s="1"/>
  <c r="F4" i="9" s="1"/>
  <c r="F14" i="8"/>
  <c r="G14" i="8" s="1"/>
  <c r="H14" i="8" s="1"/>
  <c r="G9" i="8"/>
  <c r="H9" i="8" s="1"/>
  <c r="F24" i="9" s="1"/>
  <c r="G23" i="9"/>
  <c r="X23" i="9" s="1"/>
  <c r="W23" i="9"/>
  <c r="G25" i="9"/>
  <c r="X25" i="9" s="1"/>
  <c r="W25" i="9"/>
  <c r="G26" i="9"/>
  <c r="X26" i="9" s="1"/>
  <c r="W26" i="9"/>
  <c r="G27" i="9"/>
  <c r="X27" i="9" s="1"/>
  <c r="W27" i="9"/>
  <c r="D5" i="49"/>
  <c r="W4" i="9" l="1"/>
  <c r="P4" i="9"/>
  <c r="G24" i="9"/>
  <c r="X24" i="9" s="1"/>
  <c r="W24" i="9"/>
  <c r="C8" i="49"/>
  <c r="D8" i="49" l="1"/>
  <c r="E7" i="4"/>
  <c r="E8" i="4"/>
  <c r="E9" i="4"/>
  <c r="E10" i="4"/>
  <c r="E11" i="4"/>
  <c r="E12" i="4"/>
  <c r="E13" i="4"/>
  <c r="E14" i="4"/>
  <c r="E15" i="4"/>
  <c r="E16" i="4"/>
  <c r="E17" i="4"/>
  <c r="E20" i="4"/>
  <c r="E22" i="4"/>
  <c r="E24" i="4"/>
  <c r="E26" i="4"/>
  <c r="E5" i="4"/>
  <c r="L17" i="9"/>
  <c r="M17" i="9" s="1"/>
  <c r="N17" i="9" s="1"/>
  <c r="L18" i="9"/>
  <c r="M18" i="9" s="1"/>
  <c r="N18" i="9" s="1"/>
  <c r="L19" i="9"/>
  <c r="M19" i="9" s="1"/>
  <c r="N19" i="9" s="1"/>
  <c r="L20" i="9"/>
  <c r="M20" i="9" s="1"/>
  <c r="N20" i="9" s="1"/>
  <c r="L21" i="9"/>
  <c r="M21" i="9" s="1"/>
  <c r="N21" i="9" s="1"/>
  <c r="L22" i="9"/>
  <c r="M22" i="9" s="1"/>
  <c r="N22" i="9" s="1"/>
  <c r="L16" i="9"/>
  <c r="M16" i="9" s="1"/>
  <c r="N16" i="9" s="1"/>
  <c r="C52" i="30"/>
  <c r="E23" i="4"/>
  <c r="E19" i="4"/>
  <c r="E21" i="4"/>
  <c r="H24" i="4"/>
  <c r="H23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5" i="4"/>
  <c r="H26" i="4"/>
  <c r="H5" i="4"/>
  <c r="E27" i="4" l="1"/>
  <c r="D12" i="49"/>
  <c r="N28" i="9"/>
  <c r="G161" i="2"/>
  <c r="I176" i="2"/>
  <c r="C9" i="50" l="1"/>
  <c r="C6" i="56" s="1"/>
  <c r="D9" i="50"/>
  <c r="D6" i="56" s="1"/>
  <c r="F44" i="50"/>
  <c r="F9" i="50"/>
  <c r="F6" i="56" s="1"/>
  <c r="C44" i="50"/>
  <c r="D44" i="50"/>
  <c r="E44" i="50"/>
  <c r="G6" i="56"/>
  <c r="E9" i="50"/>
  <c r="E6" i="56" s="1"/>
  <c r="E46" i="32" l="1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F30" i="32"/>
  <c r="E30" i="32"/>
  <c r="F29" i="32"/>
  <c r="E29" i="32"/>
  <c r="F28" i="32"/>
  <c r="E28" i="32"/>
  <c r="F27" i="32"/>
  <c r="E27" i="32"/>
  <c r="F26" i="32"/>
  <c r="E26" i="32"/>
  <c r="F25" i="32"/>
  <c r="E25" i="32"/>
  <c r="F24" i="32"/>
  <c r="E24" i="32"/>
  <c r="K15" i="32"/>
  <c r="G15" i="32"/>
  <c r="I15" i="32" s="1"/>
  <c r="K14" i="32"/>
  <c r="G14" i="32"/>
  <c r="I14" i="32" s="1"/>
  <c r="K13" i="32"/>
  <c r="G13" i="32"/>
  <c r="I13" i="32" s="1"/>
  <c r="K12" i="32"/>
  <c r="G12" i="32"/>
  <c r="I12" i="32" s="1"/>
  <c r="K11" i="32"/>
  <c r="G11" i="32"/>
  <c r="I11" i="32" s="1"/>
  <c r="K10" i="32"/>
  <c r="G10" i="32"/>
  <c r="I10" i="32" s="1"/>
  <c r="K9" i="32"/>
  <c r="G9" i="32"/>
  <c r="H9" i="32" s="1"/>
  <c r="K8" i="32"/>
  <c r="G8" i="32"/>
  <c r="I8" i="32" s="1"/>
  <c r="K7" i="32"/>
  <c r="G7" i="32"/>
  <c r="G6" i="32"/>
  <c r="E46" i="31"/>
  <c r="D46" i="31"/>
  <c r="E45" i="31"/>
  <c r="D45" i="31"/>
  <c r="E44" i="31"/>
  <c r="D44" i="31"/>
  <c r="E43" i="3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K15" i="31"/>
  <c r="G15" i="31"/>
  <c r="I15" i="31" s="1"/>
  <c r="K14" i="31"/>
  <c r="G14" i="31"/>
  <c r="I14" i="31" s="1"/>
  <c r="K13" i="31"/>
  <c r="G13" i="31"/>
  <c r="I13" i="31" s="1"/>
  <c r="K12" i="31"/>
  <c r="G12" i="31"/>
  <c r="I12" i="31" s="1"/>
  <c r="K11" i="31"/>
  <c r="G11" i="31"/>
  <c r="I11" i="31" s="1"/>
  <c r="K10" i="31"/>
  <c r="G10" i="31"/>
  <c r="I10" i="31" s="1"/>
  <c r="K9" i="31"/>
  <c r="G9" i="31"/>
  <c r="I9" i="31" s="1"/>
  <c r="K8" i="31"/>
  <c r="G8" i="31"/>
  <c r="I8" i="31" s="1"/>
  <c r="K7" i="31"/>
  <c r="G7" i="31"/>
  <c r="I7" i="31" s="1"/>
  <c r="K6" i="31"/>
  <c r="G6" i="31"/>
  <c r="I173" i="2"/>
  <c r="I174" i="2"/>
  <c r="E47" i="32" l="1"/>
  <c r="C52" i="32" s="1"/>
  <c r="E47" i="31"/>
  <c r="C52" i="31" s="1"/>
  <c r="H11" i="32"/>
  <c r="H7" i="32"/>
  <c r="I7" i="32" s="1"/>
  <c r="I9" i="32"/>
  <c r="H13" i="32"/>
  <c r="H15" i="32"/>
  <c r="H8" i="32"/>
  <c r="H10" i="32"/>
  <c r="H12" i="32"/>
  <c r="H14" i="32"/>
  <c r="H15" i="31"/>
  <c r="H9" i="31"/>
  <c r="H13" i="31"/>
  <c r="H7" i="31"/>
  <c r="H11" i="31"/>
  <c r="H8" i="31"/>
  <c r="H10" i="31"/>
  <c r="H12" i="31"/>
  <c r="H14" i="31"/>
  <c r="E46" i="30" l="1"/>
  <c r="D46" i="30"/>
  <c r="E45" i="30"/>
  <c r="D45" i="30"/>
  <c r="E44" i="30"/>
  <c r="D44" i="30"/>
  <c r="E43" i="30"/>
  <c r="D43" i="30"/>
  <c r="E42" i="30"/>
  <c r="D42" i="30"/>
  <c r="E41" i="30"/>
  <c r="D41" i="30"/>
  <c r="E40" i="30"/>
  <c r="D40" i="30"/>
  <c r="E39" i="30"/>
  <c r="D39" i="30"/>
  <c r="E38" i="30"/>
  <c r="D38" i="30"/>
  <c r="E37" i="30"/>
  <c r="D37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K15" i="30"/>
  <c r="H15" i="30"/>
  <c r="G15" i="30"/>
  <c r="I15" i="30" s="1"/>
  <c r="K14" i="30"/>
  <c r="G14" i="30"/>
  <c r="I14" i="30" s="1"/>
  <c r="K13" i="30"/>
  <c r="I13" i="30"/>
  <c r="G13" i="30"/>
  <c r="H13" i="30" s="1"/>
  <c r="K12" i="30"/>
  <c r="H12" i="30"/>
  <c r="G12" i="30"/>
  <c r="I12" i="30" s="1"/>
  <c r="K11" i="30"/>
  <c r="I11" i="30"/>
  <c r="H11" i="30"/>
  <c r="G11" i="30"/>
  <c r="K10" i="30"/>
  <c r="G10" i="30"/>
  <c r="I10" i="30" s="1"/>
  <c r="K9" i="30"/>
  <c r="G9" i="30"/>
  <c r="I9" i="30" s="1"/>
  <c r="K8" i="30"/>
  <c r="G8" i="30"/>
  <c r="I8" i="30" s="1"/>
  <c r="K7" i="30"/>
  <c r="G7" i="30"/>
  <c r="I7" i="30" s="1"/>
  <c r="K6" i="30"/>
  <c r="G6" i="30"/>
  <c r="H6" i="30" s="1"/>
  <c r="G104" i="2"/>
  <c r="I130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1" i="2"/>
  <c r="K172" i="2"/>
  <c r="E37" i="28"/>
  <c r="F37" i="28" s="1"/>
  <c r="F46" i="28"/>
  <c r="F45" i="28"/>
  <c r="F44" i="28"/>
  <c r="F43" i="28"/>
  <c r="F42" i="28"/>
  <c r="F41" i="28"/>
  <c r="F40" i="28"/>
  <c r="F39" i="28"/>
  <c r="F38" i="28"/>
  <c r="E46" i="28"/>
  <c r="E45" i="28"/>
  <c r="E44" i="28"/>
  <c r="E43" i="28"/>
  <c r="E42" i="28"/>
  <c r="E41" i="28"/>
  <c r="E40" i="28"/>
  <c r="E39" i="28"/>
  <c r="E38" i="28"/>
  <c r="F30" i="28"/>
  <c r="E30" i="28"/>
  <c r="F29" i="28"/>
  <c r="E29" i="28"/>
  <c r="F28" i="28"/>
  <c r="E28" i="28"/>
  <c r="F27" i="28"/>
  <c r="E27" i="28"/>
  <c r="F26" i="28"/>
  <c r="E26" i="28"/>
  <c r="F25" i="28"/>
  <c r="E25" i="28"/>
  <c r="F24" i="28"/>
  <c r="E24" i="28"/>
  <c r="F23" i="28"/>
  <c r="E23" i="28"/>
  <c r="K15" i="28"/>
  <c r="G15" i="28"/>
  <c r="I15" i="28" s="1"/>
  <c r="K14" i="28"/>
  <c r="G14" i="28"/>
  <c r="I14" i="28" s="1"/>
  <c r="K13" i="28"/>
  <c r="G13" i="28"/>
  <c r="I13" i="28" s="1"/>
  <c r="K12" i="28"/>
  <c r="G12" i="28"/>
  <c r="I12" i="28" s="1"/>
  <c r="K11" i="28"/>
  <c r="G11" i="28"/>
  <c r="I11" i="28" s="1"/>
  <c r="K10" i="28"/>
  <c r="G10" i="28"/>
  <c r="I10" i="28" s="1"/>
  <c r="K9" i="28"/>
  <c r="G9" i="28"/>
  <c r="I9" i="28" s="1"/>
  <c r="K8" i="28"/>
  <c r="G8" i="28"/>
  <c r="I8" i="28" s="1"/>
  <c r="K7" i="28"/>
  <c r="G7" i="28"/>
  <c r="I7" i="28" s="1"/>
  <c r="G6" i="28"/>
  <c r="E46" i="25"/>
  <c r="D46" i="25"/>
  <c r="E45" i="25"/>
  <c r="D45" i="25"/>
  <c r="E44" i="25"/>
  <c r="D44" i="25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K15" i="25"/>
  <c r="I15" i="25"/>
  <c r="G15" i="25"/>
  <c r="H15" i="25" s="1"/>
  <c r="K14" i="25"/>
  <c r="G14" i="25"/>
  <c r="I14" i="25" s="1"/>
  <c r="K13" i="25"/>
  <c r="I13" i="25"/>
  <c r="G13" i="25"/>
  <c r="H13" i="25" s="1"/>
  <c r="K12" i="25"/>
  <c r="G12" i="25"/>
  <c r="I12" i="25" s="1"/>
  <c r="K11" i="25"/>
  <c r="I11" i="25"/>
  <c r="G11" i="25"/>
  <c r="H11" i="25" s="1"/>
  <c r="K10" i="25"/>
  <c r="G10" i="25"/>
  <c r="I10" i="25" s="1"/>
  <c r="K9" i="25"/>
  <c r="G9" i="25"/>
  <c r="H9" i="25" s="1"/>
  <c r="K8" i="25"/>
  <c r="G8" i="25"/>
  <c r="K7" i="25"/>
  <c r="G7" i="25"/>
  <c r="G6" i="25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E21" i="20"/>
  <c r="F21" i="20" s="1"/>
  <c r="K15" i="20"/>
  <c r="G15" i="20"/>
  <c r="I15" i="20" s="1"/>
  <c r="K14" i="20"/>
  <c r="G14" i="20"/>
  <c r="I14" i="20" s="1"/>
  <c r="K13" i="20"/>
  <c r="G13" i="20"/>
  <c r="I13" i="20" s="1"/>
  <c r="K12" i="20"/>
  <c r="G12" i="20"/>
  <c r="I12" i="20" s="1"/>
  <c r="K11" i="20"/>
  <c r="G11" i="20"/>
  <c r="I11" i="20" s="1"/>
  <c r="K10" i="20"/>
  <c r="G10" i="20"/>
  <c r="I10" i="20" s="1"/>
  <c r="K9" i="20"/>
  <c r="G9" i="20"/>
  <c r="I9" i="20" s="1"/>
  <c r="K8" i="20"/>
  <c r="G8" i="20"/>
  <c r="I8" i="20" s="1"/>
  <c r="K7" i="20"/>
  <c r="G7" i="20"/>
  <c r="K6" i="20"/>
  <c r="G6" i="20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F30" i="19"/>
  <c r="E30" i="19"/>
  <c r="F29" i="19"/>
  <c r="E29" i="19"/>
  <c r="F28" i="19"/>
  <c r="E28" i="19"/>
  <c r="F27" i="19"/>
  <c r="E27" i="19"/>
  <c r="E26" i="19"/>
  <c r="F26" i="19" s="1"/>
  <c r="E25" i="19"/>
  <c r="F25" i="19" s="1"/>
  <c r="E24" i="19"/>
  <c r="F24" i="19" s="1"/>
  <c r="F23" i="19"/>
  <c r="E23" i="19"/>
  <c r="E22" i="19"/>
  <c r="F22" i="19" s="1"/>
  <c r="K15" i="19"/>
  <c r="G15" i="19"/>
  <c r="H15" i="19" s="1"/>
  <c r="K14" i="19"/>
  <c r="G14" i="19"/>
  <c r="I14" i="19" s="1"/>
  <c r="K13" i="19"/>
  <c r="G13" i="19"/>
  <c r="H13" i="19" s="1"/>
  <c r="K12" i="19"/>
  <c r="G12" i="19"/>
  <c r="I12" i="19" s="1"/>
  <c r="K11" i="19"/>
  <c r="G11" i="19"/>
  <c r="H11" i="19" s="1"/>
  <c r="I11" i="19" s="1"/>
  <c r="K10" i="19"/>
  <c r="G10" i="19"/>
  <c r="K9" i="19"/>
  <c r="G9" i="19"/>
  <c r="H9" i="19" s="1"/>
  <c r="I9" i="19" s="1"/>
  <c r="K8" i="19"/>
  <c r="G8" i="19"/>
  <c r="G7" i="19"/>
  <c r="G6" i="19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F30" i="18"/>
  <c r="E30" i="18"/>
  <c r="F29" i="18"/>
  <c r="E29" i="18"/>
  <c r="F28" i="18"/>
  <c r="E28" i="18"/>
  <c r="K15" i="18"/>
  <c r="I15" i="18"/>
  <c r="H15" i="18"/>
  <c r="G15" i="18"/>
  <c r="K14" i="18"/>
  <c r="G14" i="18"/>
  <c r="I14" i="18" s="1"/>
  <c r="K13" i="18"/>
  <c r="G13" i="18"/>
  <c r="I13" i="18" s="1"/>
  <c r="K12" i="18"/>
  <c r="G12" i="18"/>
  <c r="I12" i="18" s="1"/>
  <c r="G11" i="18"/>
  <c r="G10" i="18"/>
  <c r="G9" i="18"/>
  <c r="G8" i="18"/>
  <c r="G7" i="18"/>
  <c r="G6" i="18"/>
  <c r="F11" i="5"/>
  <c r="G47" i="5"/>
  <c r="E21" i="25" s="1"/>
  <c r="F21" i="25" s="1"/>
  <c r="G48" i="5"/>
  <c r="E26" i="18" s="1"/>
  <c r="F26" i="18" s="1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D25" i="13"/>
  <c r="D26" i="13"/>
  <c r="D27" i="13"/>
  <c r="D28" i="13"/>
  <c r="D29" i="13"/>
  <c r="D30" i="13"/>
  <c r="F46" i="5"/>
  <c r="G46" i="5" s="1"/>
  <c r="J9" i="13"/>
  <c r="J10" i="13"/>
  <c r="J11" i="13"/>
  <c r="J12" i="13"/>
  <c r="J13" i="13"/>
  <c r="J14" i="13"/>
  <c r="J15" i="13"/>
  <c r="I9" i="25" l="1"/>
  <c r="I15" i="19"/>
  <c r="H9" i="30"/>
  <c r="H14" i="30"/>
  <c r="H13" i="18"/>
  <c r="I13" i="19"/>
  <c r="E22" i="28"/>
  <c r="F22" i="28" s="1"/>
  <c r="E21" i="30"/>
  <c r="F21" i="30" s="1"/>
  <c r="F31" i="30" s="1"/>
  <c r="C51" i="30" s="1"/>
  <c r="E21" i="31"/>
  <c r="F21" i="31" s="1"/>
  <c r="F31" i="31" s="1"/>
  <c r="C51" i="31" s="1"/>
  <c r="E23" i="32"/>
  <c r="F23" i="32" s="1"/>
  <c r="D23" i="13"/>
  <c r="E47" i="30"/>
  <c r="H7" i="30"/>
  <c r="H10" i="30"/>
  <c r="H8" i="30"/>
  <c r="I6" i="30"/>
  <c r="I16" i="30" s="1"/>
  <c r="C50" i="30" s="1"/>
  <c r="F31" i="25"/>
  <c r="C51" i="25" s="1"/>
  <c r="F31" i="20"/>
  <c r="E47" i="25"/>
  <c r="C52" i="25" s="1"/>
  <c r="E47" i="19"/>
  <c r="C52" i="19" s="1"/>
  <c r="E47" i="18"/>
  <c r="E47" i="20"/>
  <c r="F47" i="28"/>
  <c r="C52" i="28" s="1"/>
  <c r="H7" i="28"/>
  <c r="H9" i="28"/>
  <c r="H11" i="28"/>
  <c r="H13" i="28"/>
  <c r="H15" i="28"/>
  <c r="H8" i="28"/>
  <c r="H12" i="28"/>
  <c r="H14" i="28"/>
  <c r="H10" i="28"/>
  <c r="H8" i="25"/>
  <c r="I8" i="25" s="1"/>
  <c r="H10" i="25"/>
  <c r="H14" i="25"/>
  <c r="H12" i="25"/>
  <c r="H7" i="20"/>
  <c r="I7" i="20" s="1"/>
  <c r="H9" i="20"/>
  <c r="H11" i="20"/>
  <c r="H13" i="20"/>
  <c r="H15" i="20"/>
  <c r="H6" i="20"/>
  <c r="I6" i="20" s="1"/>
  <c r="H8" i="20"/>
  <c r="H10" i="20"/>
  <c r="H12" i="20"/>
  <c r="H14" i="20"/>
  <c r="H12" i="19"/>
  <c r="H8" i="19"/>
  <c r="I8" i="19" s="1"/>
  <c r="H10" i="19"/>
  <c r="I10" i="19" s="1"/>
  <c r="H14" i="19"/>
  <c r="H12" i="18"/>
  <c r="H14" i="18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34" i="5"/>
  <c r="G36" i="5"/>
  <c r="G37" i="5"/>
  <c r="G38" i="5"/>
  <c r="G39" i="5"/>
  <c r="G41" i="5"/>
  <c r="G42" i="5"/>
  <c r="G43" i="5"/>
  <c r="E22" i="32" s="1"/>
  <c r="F22" i="32" s="1"/>
  <c r="G44" i="5"/>
  <c r="G8" i="5"/>
  <c r="I13" i="2"/>
  <c r="I14" i="2"/>
  <c r="I15" i="2"/>
  <c r="I16" i="2"/>
  <c r="I19" i="2"/>
  <c r="I20" i="2"/>
  <c r="I23" i="2"/>
  <c r="I24" i="2"/>
  <c r="I25" i="2"/>
  <c r="I26" i="2"/>
  <c r="I27" i="2"/>
  <c r="I28" i="2"/>
  <c r="I29" i="2"/>
  <c r="I30" i="2"/>
  <c r="I33" i="2"/>
  <c r="I34" i="2"/>
  <c r="I36" i="2"/>
  <c r="I38" i="2"/>
  <c r="I40" i="2"/>
  <c r="I42" i="2"/>
  <c r="I43" i="2"/>
  <c r="I48" i="2"/>
  <c r="I50" i="2"/>
  <c r="I51" i="2"/>
  <c r="I52" i="2"/>
  <c r="I53" i="2"/>
  <c r="I54" i="2"/>
  <c r="I55" i="2"/>
  <c r="I56" i="2"/>
  <c r="I57" i="2"/>
  <c r="I58" i="2"/>
  <c r="I59" i="2"/>
  <c r="I63" i="2"/>
  <c r="I64" i="2"/>
  <c r="I65" i="2"/>
  <c r="I67" i="2"/>
  <c r="I68" i="2"/>
  <c r="I70" i="2"/>
  <c r="I71" i="2"/>
  <c r="I74" i="2"/>
  <c r="I77" i="2"/>
  <c r="I78" i="2"/>
  <c r="I79" i="2"/>
  <c r="I80" i="2"/>
  <c r="I82" i="2"/>
  <c r="I85" i="2"/>
  <c r="I86" i="2"/>
  <c r="I91" i="2"/>
  <c r="I92" i="2"/>
  <c r="I93" i="2"/>
  <c r="I94" i="2"/>
  <c r="I95" i="2"/>
  <c r="I96" i="2"/>
  <c r="I97" i="2"/>
  <c r="I98" i="2"/>
  <c r="I99" i="2"/>
  <c r="I100" i="2"/>
  <c r="H6" i="31" s="1"/>
  <c r="I6" i="31" s="1"/>
  <c r="I16" i="31" s="1"/>
  <c r="C50" i="31" s="1"/>
  <c r="I107" i="2"/>
  <c r="H6" i="32" s="1"/>
  <c r="I6" i="32" s="1"/>
  <c r="I16" i="32" s="1"/>
  <c r="C50" i="32" s="1"/>
  <c r="I108" i="2"/>
  <c r="I109" i="2"/>
  <c r="I110" i="2"/>
  <c r="I112" i="2"/>
  <c r="I116" i="2"/>
  <c r="I118" i="2"/>
  <c r="I119" i="2"/>
  <c r="I120" i="2"/>
  <c r="I122" i="2"/>
  <c r="I123" i="2"/>
  <c r="I124" i="2"/>
  <c r="I126" i="2"/>
  <c r="I128" i="2"/>
  <c r="H6" i="18" s="1"/>
  <c r="I6" i="18" s="1"/>
  <c r="I129" i="2"/>
  <c r="I133" i="2"/>
  <c r="I134" i="2"/>
  <c r="I136" i="2"/>
  <c r="I137" i="2"/>
  <c r="I138" i="2"/>
  <c r="I139" i="2"/>
  <c r="I140" i="2"/>
  <c r="I141" i="2"/>
  <c r="I143" i="2"/>
  <c r="I144" i="2"/>
  <c r="I145" i="2"/>
  <c r="I149" i="2"/>
  <c r="I151" i="2"/>
  <c r="I152" i="2"/>
  <c r="H10" i="18" s="1"/>
  <c r="I10" i="18" s="1"/>
  <c r="I153" i="2"/>
  <c r="I154" i="2"/>
  <c r="I156" i="2"/>
  <c r="I157" i="2"/>
  <c r="I158" i="2"/>
  <c r="I159" i="2"/>
  <c r="I160" i="2"/>
  <c r="G6" i="13" s="1"/>
  <c r="I162" i="2"/>
  <c r="I163" i="2"/>
  <c r="I164" i="2"/>
  <c r="I165" i="2"/>
  <c r="I166" i="2"/>
  <c r="I167" i="2"/>
  <c r="I169" i="2"/>
  <c r="F45" i="5"/>
  <c r="G45" i="5" s="1"/>
  <c r="E21" i="28" s="1"/>
  <c r="F21" i="28" s="1"/>
  <c r="F31" i="28" s="1"/>
  <c r="C51" i="28" s="1"/>
  <c r="F40" i="5"/>
  <c r="G40" i="5" s="1"/>
  <c r="F35" i="5"/>
  <c r="G35" i="5" s="1"/>
  <c r="D33" i="5"/>
  <c r="F33" i="5" s="1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3" i="5"/>
  <c r="G23" i="5" s="1"/>
  <c r="D21" i="5"/>
  <c r="G172" i="2"/>
  <c r="I172" i="2" s="1"/>
  <c r="H7" i="25" s="1"/>
  <c r="I7" i="25" s="1"/>
  <c r="F171" i="2"/>
  <c r="G171" i="2" s="1"/>
  <c r="I171" i="2" s="1"/>
  <c r="K7" i="19"/>
  <c r="G168" i="2"/>
  <c r="F168" i="2" s="1"/>
  <c r="J6" i="13"/>
  <c r="F158" i="2"/>
  <c r="G155" i="2"/>
  <c r="I155" i="2" s="1"/>
  <c r="G150" i="2"/>
  <c r="I150" i="2" s="1"/>
  <c r="I148" i="2"/>
  <c r="G147" i="2"/>
  <c r="F147" i="2" s="1"/>
  <c r="G146" i="2"/>
  <c r="I146" i="2" s="1"/>
  <c r="G142" i="2"/>
  <c r="I142" i="2" s="1"/>
  <c r="G135" i="2"/>
  <c r="I135" i="2" s="1"/>
  <c r="G132" i="2"/>
  <c r="I132" i="2" s="1"/>
  <c r="F131" i="2"/>
  <c r="G131" i="2" s="1"/>
  <c r="I131" i="2" s="1"/>
  <c r="G127" i="2"/>
  <c r="I127" i="2" s="1"/>
  <c r="H6" i="25" s="1"/>
  <c r="I6" i="25" s="1"/>
  <c r="K126" i="2"/>
  <c r="K125" i="2"/>
  <c r="G125" i="2"/>
  <c r="I125" i="2" s="1"/>
  <c r="K124" i="2"/>
  <c r="K123" i="2"/>
  <c r="K122" i="2"/>
  <c r="K121" i="2"/>
  <c r="G121" i="2"/>
  <c r="I121" i="2" s="1"/>
  <c r="K120" i="2"/>
  <c r="K119" i="2"/>
  <c r="K118" i="2"/>
  <c r="K117" i="2"/>
  <c r="G117" i="2"/>
  <c r="I117" i="2" s="1"/>
  <c r="K116" i="2"/>
  <c r="K115" i="2"/>
  <c r="G115" i="2"/>
  <c r="I115" i="2" s="1"/>
  <c r="K114" i="2"/>
  <c r="G114" i="2"/>
  <c r="I114" i="2" s="1"/>
  <c r="K113" i="2"/>
  <c r="F113" i="2"/>
  <c r="G113" i="2" s="1"/>
  <c r="I113" i="2" s="1"/>
  <c r="K112" i="2"/>
  <c r="K111" i="2"/>
  <c r="G111" i="2"/>
  <c r="I111" i="2" s="1"/>
  <c r="K110" i="2"/>
  <c r="K109" i="2"/>
  <c r="K108" i="2"/>
  <c r="K107" i="2"/>
  <c r="K6" i="32" s="1"/>
  <c r="K106" i="2"/>
  <c r="J8" i="13" s="1"/>
  <c r="G106" i="2"/>
  <c r="I106" i="2" s="1"/>
  <c r="K105" i="2"/>
  <c r="G105" i="2"/>
  <c r="I105" i="2" s="1"/>
  <c r="K104" i="2"/>
  <c r="I104" i="2"/>
  <c r="K103" i="2"/>
  <c r="G103" i="2"/>
  <c r="I103" i="2" s="1"/>
  <c r="K102" i="2"/>
  <c r="G102" i="2"/>
  <c r="I102" i="2" s="1"/>
  <c r="K101" i="2"/>
  <c r="G101" i="2"/>
  <c r="I101" i="2" s="1"/>
  <c r="H8" i="18" s="1"/>
  <c r="I8" i="18" s="1"/>
  <c r="K99" i="2"/>
  <c r="K98" i="2"/>
  <c r="K97" i="2"/>
  <c r="K96" i="2"/>
  <c r="K95" i="2"/>
  <c r="F95" i="2"/>
  <c r="K94" i="2"/>
  <c r="K93" i="2"/>
  <c r="K92" i="2"/>
  <c r="K91" i="2"/>
  <c r="F91" i="2"/>
  <c r="K90" i="2"/>
  <c r="G90" i="2"/>
  <c r="I90" i="2" s="1"/>
  <c r="K89" i="2"/>
  <c r="F89" i="2"/>
  <c r="G89" i="2" s="1"/>
  <c r="I89" i="2" s="1"/>
  <c r="K88" i="2"/>
  <c r="G88" i="2"/>
  <c r="I88" i="2" s="1"/>
  <c r="K87" i="2"/>
  <c r="G87" i="2"/>
  <c r="I87" i="2" s="1"/>
  <c r="K86" i="2"/>
  <c r="K85" i="2"/>
  <c r="K84" i="2"/>
  <c r="F84" i="2"/>
  <c r="G84" i="2" s="1"/>
  <c r="I84" i="2" s="1"/>
  <c r="K83" i="2"/>
  <c r="G83" i="2"/>
  <c r="I83" i="2" s="1"/>
  <c r="K82" i="2"/>
  <c r="K81" i="2"/>
  <c r="G81" i="2"/>
  <c r="I81" i="2" s="1"/>
  <c r="K80" i="2"/>
  <c r="K79" i="2"/>
  <c r="K78" i="2"/>
  <c r="K77" i="2"/>
  <c r="K76" i="2"/>
  <c r="G76" i="2"/>
  <c r="I76" i="2" s="1"/>
  <c r="K75" i="2"/>
  <c r="G75" i="2"/>
  <c r="I75" i="2" s="1"/>
  <c r="K74" i="2"/>
  <c r="K73" i="2"/>
  <c r="F73" i="2"/>
  <c r="G73" i="2" s="1"/>
  <c r="I73" i="2" s="1"/>
  <c r="K72" i="2"/>
  <c r="G72" i="2"/>
  <c r="I72" i="2" s="1"/>
  <c r="K71" i="2"/>
  <c r="K70" i="2"/>
  <c r="K69" i="2"/>
  <c r="G69" i="2"/>
  <c r="I69" i="2" s="1"/>
  <c r="K68" i="2"/>
  <c r="K67" i="2"/>
  <c r="K66" i="2"/>
  <c r="G66" i="2"/>
  <c r="I66" i="2" s="1"/>
  <c r="K65" i="2"/>
  <c r="K64" i="2"/>
  <c r="K63" i="2"/>
  <c r="K62" i="2"/>
  <c r="G62" i="2"/>
  <c r="I62" i="2" s="1"/>
  <c r="K61" i="2"/>
  <c r="G61" i="2"/>
  <c r="I61" i="2" s="1"/>
  <c r="K60" i="2"/>
  <c r="G60" i="2"/>
  <c r="I60" i="2" s="1"/>
  <c r="K59" i="2"/>
  <c r="K58" i="2"/>
  <c r="K57" i="2"/>
  <c r="K56" i="2"/>
  <c r="K55" i="2"/>
  <c r="F55" i="2"/>
  <c r="K54" i="2"/>
  <c r="K53" i="2"/>
  <c r="K52" i="2"/>
  <c r="K51" i="2"/>
  <c r="K50" i="2"/>
  <c r="K49" i="2"/>
  <c r="G49" i="2"/>
  <c r="I49" i="2" s="1"/>
  <c r="K48" i="2"/>
  <c r="K47" i="2"/>
  <c r="G47" i="2"/>
  <c r="I47" i="2" s="1"/>
  <c r="K46" i="2"/>
  <c r="G46" i="2"/>
  <c r="I46" i="2" s="1"/>
  <c r="K45" i="2"/>
  <c r="F45" i="2"/>
  <c r="G45" i="2" s="1"/>
  <c r="I45" i="2" s="1"/>
  <c r="K44" i="2"/>
  <c r="G44" i="2"/>
  <c r="I44" i="2" s="1"/>
  <c r="K43" i="2"/>
  <c r="K42" i="2"/>
  <c r="K41" i="2"/>
  <c r="G41" i="2"/>
  <c r="I41" i="2" s="1"/>
  <c r="K40" i="2"/>
  <c r="K39" i="2"/>
  <c r="G39" i="2"/>
  <c r="I39" i="2" s="1"/>
  <c r="K38" i="2"/>
  <c r="K37" i="2"/>
  <c r="G37" i="2"/>
  <c r="I37" i="2" s="1"/>
  <c r="K36" i="2"/>
  <c r="K35" i="2"/>
  <c r="G35" i="2"/>
  <c r="I35" i="2" s="1"/>
  <c r="K34" i="2"/>
  <c r="K33" i="2"/>
  <c r="K32" i="2"/>
  <c r="G32" i="2"/>
  <c r="I32" i="2" s="1"/>
  <c r="K31" i="2"/>
  <c r="G31" i="2"/>
  <c r="I31" i="2" s="1"/>
  <c r="K30" i="2"/>
  <c r="K29" i="2"/>
  <c r="K28" i="2"/>
  <c r="K27" i="2"/>
  <c r="K26" i="2"/>
  <c r="K25" i="2"/>
  <c r="K24" i="2"/>
  <c r="K23" i="2"/>
  <c r="K22" i="2"/>
  <c r="I22" i="2"/>
  <c r="K21" i="2"/>
  <c r="I21" i="2"/>
  <c r="K20" i="2"/>
  <c r="K19" i="2"/>
  <c r="K18" i="2"/>
  <c r="G18" i="2"/>
  <c r="I18" i="2" s="1"/>
  <c r="K17" i="2"/>
  <c r="G17" i="2"/>
  <c r="I17" i="2" s="1"/>
  <c r="K16" i="2"/>
  <c r="K15" i="2"/>
  <c r="K14" i="2"/>
  <c r="K13" i="2"/>
  <c r="K12" i="2"/>
  <c r="G12" i="2"/>
  <c r="I12" i="2" s="1"/>
  <c r="K11" i="2"/>
  <c r="F11" i="2"/>
  <c r="I11" i="2" s="1"/>
  <c r="H6" i="28" s="1"/>
  <c r="K10" i="2"/>
  <c r="G10" i="2"/>
  <c r="I10" i="2" s="1"/>
  <c r="C53" i="30" l="1"/>
  <c r="E21" i="19"/>
  <c r="F21" i="19" s="1"/>
  <c r="F31" i="19" s="1"/>
  <c r="C51" i="19" s="1"/>
  <c r="D24" i="13"/>
  <c r="E21" i="18"/>
  <c r="F21" i="18" s="1"/>
  <c r="D22" i="13"/>
  <c r="E22" i="18"/>
  <c r="F22" i="18" s="1"/>
  <c r="E27" i="18"/>
  <c r="F27" i="18" s="1"/>
  <c r="C53" i="31"/>
  <c r="E25" i="18"/>
  <c r="F25" i="18" s="1"/>
  <c r="E24" i="18"/>
  <c r="F24" i="18" s="1"/>
  <c r="D21" i="13"/>
  <c r="E21" i="32"/>
  <c r="F21" i="32" s="1"/>
  <c r="F31" i="32" s="1"/>
  <c r="C51" i="32" s="1"/>
  <c r="C53" i="32" s="1"/>
  <c r="E23" i="18"/>
  <c r="F23" i="18" s="1"/>
  <c r="H7" i="19"/>
  <c r="I7" i="19" s="1"/>
  <c r="F10" i="47"/>
  <c r="I168" i="2"/>
  <c r="H9" i="18"/>
  <c r="I9" i="18" s="1"/>
  <c r="H11" i="18"/>
  <c r="I11" i="18" s="1"/>
  <c r="I6" i="28"/>
  <c r="I16" i="28" s="1"/>
  <c r="C50" i="28" s="1"/>
  <c r="C53" i="28" s="1"/>
  <c r="H7" i="18"/>
  <c r="I7" i="18" s="1"/>
  <c r="K7" i="18"/>
  <c r="K6" i="19"/>
  <c r="J7" i="13"/>
  <c r="K8" i="18"/>
  <c r="K10" i="18"/>
  <c r="H6" i="19"/>
  <c r="I6" i="19" s="1"/>
  <c r="I147" i="2"/>
  <c r="K6" i="18"/>
  <c r="K9" i="18"/>
  <c r="K11" i="18"/>
  <c r="K6" i="28"/>
  <c r="K6" i="25"/>
  <c r="I16" i="25"/>
  <c r="C50" i="25" s="1"/>
  <c r="C53" i="25" s="1"/>
  <c r="I16" i="20"/>
  <c r="H24" i="9" l="1"/>
  <c r="I24" i="9" s="1"/>
  <c r="H25" i="9"/>
  <c r="I25" i="9" s="1"/>
  <c r="H23" i="9"/>
  <c r="I23" i="9" s="1"/>
  <c r="H26" i="9"/>
  <c r="I26" i="9" s="1"/>
  <c r="H27" i="9"/>
  <c r="I27" i="9" s="1"/>
  <c r="G17" i="56"/>
  <c r="C17" i="56"/>
  <c r="F17" i="56"/>
  <c r="D17" i="56"/>
  <c r="E17" i="56"/>
  <c r="F31" i="18"/>
  <c r="F12" i="47"/>
  <c r="F11" i="47"/>
  <c r="I16" i="19"/>
  <c r="C50" i="19" s="1"/>
  <c r="C53" i="19" s="1"/>
  <c r="F8" i="47"/>
  <c r="F9" i="47"/>
  <c r="I16" i="18"/>
  <c r="E46" i="13"/>
  <c r="D46" i="13"/>
  <c r="E45" i="13"/>
  <c r="D45" i="13"/>
  <c r="D44" i="13"/>
  <c r="E44" i="13" s="1"/>
  <c r="E30" i="13"/>
  <c r="E29" i="13"/>
  <c r="E28" i="13"/>
  <c r="E27" i="13"/>
  <c r="E26" i="13"/>
  <c r="E25" i="13"/>
  <c r="E24" i="13"/>
  <c r="E23" i="13"/>
  <c r="E22" i="13"/>
  <c r="E21" i="13"/>
  <c r="H15" i="13"/>
  <c r="F15" i="13"/>
  <c r="G15" i="13" s="1"/>
  <c r="F14" i="13"/>
  <c r="F13" i="13"/>
  <c r="G13" i="13" s="1"/>
  <c r="F12" i="13"/>
  <c r="F11" i="13"/>
  <c r="G11" i="13" s="1"/>
  <c r="F10" i="13"/>
  <c r="F9" i="13"/>
  <c r="G9" i="13" s="1"/>
  <c r="F8" i="13"/>
  <c r="F7" i="13"/>
  <c r="G7" i="13" s="1"/>
  <c r="H10" i="13" l="1"/>
  <c r="G10" i="13"/>
  <c r="H11" i="13"/>
  <c r="H13" i="13"/>
  <c r="H14" i="13"/>
  <c r="G14" i="13"/>
  <c r="H12" i="13"/>
  <c r="G12" i="13"/>
  <c r="D18" i="56"/>
  <c r="E18" i="56"/>
  <c r="G18" i="56"/>
  <c r="C18" i="56"/>
  <c r="F18" i="56"/>
  <c r="D16" i="56"/>
  <c r="E16" i="56"/>
  <c r="G16" i="56"/>
  <c r="F16" i="56"/>
  <c r="C16" i="56"/>
  <c r="H9" i="13"/>
  <c r="F7" i="47"/>
  <c r="E31" i="13"/>
  <c r="C51" i="13" s="1"/>
  <c r="G8" i="13"/>
  <c r="H8" i="13" s="1"/>
  <c r="H6" i="13"/>
  <c r="H7" i="13"/>
  <c r="D10" i="56" l="1"/>
  <c r="D28" i="56" s="1"/>
  <c r="C10" i="56"/>
  <c r="C28" i="56" s="1"/>
  <c r="E10" i="56"/>
  <c r="E28" i="56" s="1"/>
  <c r="F10" i="56"/>
  <c r="F28" i="56" s="1"/>
  <c r="G10" i="56"/>
  <c r="G28" i="56" s="1"/>
  <c r="H16" i="13"/>
  <c r="C50" i="13" s="1"/>
  <c r="G11" i="56" l="1"/>
  <c r="C11" i="56"/>
  <c r="E11" i="56"/>
  <c r="D11" i="56"/>
  <c r="F11" i="56"/>
  <c r="D27" i="3"/>
  <c r="C31" i="3" l="1"/>
  <c r="C28" i="3"/>
  <c r="C32" i="3"/>
  <c r="D20" i="3" l="1"/>
  <c r="E20" i="3"/>
  <c r="F20" i="3"/>
  <c r="G20" i="3"/>
  <c r="H20" i="3"/>
  <c r="I20" i="3"/>
  <c r="J20" i="3"/>
  <c r="K20" i="3"/>
  <c r="L20" i="3"/>
  <c r="M20" i="3"/>
  <c r="C20" i="3"/>
  <c r="D15" i="3"/>
  <c r="E15" i="3"/>
  <c r="F15" i="3"/>
  <c r="G15" i="3"/>
  <c r="H15" i="3"/>
  <c r="I15" i="3"/>
  <c r="J15" i="3"/>
  <c r="K15" i="3"/>
  <c r="L15" i="3"/>
  <c r="M15" i="3"/>
  <c r="C15" i="3"/>
  <c r="D5" i="3"/>
  <c r="E5" i="3"/>
  <c r="F5" i="3"/>
  <c r="G5" i="3"/>
  <c r="H5" i="3"/>
  <c r="I5" i="3"/>
  <c r="J5" i="3"/>
  <c r="K5" i="3"/>
  <c r="L5" i="3"/>
  <c r="M5" i="3"/>
  <c r="C5" i="3"/>
  <c r="F5" i="9"/>
  <c r="W5" i="9" s="1"/>
  <c r="W6" i="9"/>
  <c r="F7" i="9"/>
  <c r="W7" i="9" s="1"/>
  <c r="F8" i="9"/>
  <c r="W8" i="9" s="1"/>
  <c r="F9" i="9"/>
  <c r="W9" i="9" s="1"/>
  <c r="F10" i="9"/>
  <c r="W10" i="9" s="1"/>
  <c r="F11" i="9"/>
  <c r="W11" i="9" s="1"/>
  <c r="F12" i="9"/>
  <c r="W12" i="9" s="1"/>
  <c r="F13" i="9"/>
  <c r="W13" i="9" s="1"/>
  <c r="F14" i="9"/>
  <c r="W14" i="9" s="1"/>
  <c r="F15" i="9"/>
  <c r="W15" i="9" s="1"/>
  <c r="F16" i="9"/>
  <c r="W16" i="9" s="1"/>
  <c r="F17" i="9"/>
  <c r="W17" i="9" s="1"/>
  <c r="F18" i="9"/>
  <c r="W18" i="9" s="1"/>
  <c r="F19" i="9"/>
  <c r="W19" i="9" s="1"/>
  <c r="F20" i="9"/>
  <c r="W20" i="9" s="1"/>
  <c r="F21" i="9"/>
  <c r="W21" i="9" s="1"/>
  <c r="F22" i="9"/>
  <c r="W22" i="9" s="1"/>
  <c r="G4" i="9"/>
  <c r="I7" i="6"/>
  <c r="I8" i="6"/>
  <c r="I10" i="6"/>
  <c r="I12" i="6"/>
  <c r="I13" i="6"/>
  <c r="I14" i="6"/>
  <c r="I15" i="6"/>
  <c r="I16" i="6"/>
  <c r="I17" i="6"/>
  <c r="I19" i="6"/>
  <c r="I20" i="6"/>
  <c r="I21" i="6"/>
  <c r="I23" i="6"/>
  <c r="I25" i="6"/>
  <c r="I30" i="6"/>
  <c r="I32" i="6"/>
  <c r="I34" i="6"/>
  <c r="I35" i="6"/>
  <c r="I36" i="6"/>
  <c r="I37" i="6"/>
  <c r="I38" i="6"/>
  <c r="I39" i="6"/>
  <c r="I41" i="6"/>
  <c r="I44" i="6"/>
  <c r="I45" i="6"/>
  <c r="I46" i="6"/>
  <c r="I6" i="6"/>
  <c r="H6" i="6"/>
  <c r="H7" i="6"/>
  <c r="H8" i="6"/>
  <c r="H9" i="6"/>
  <c r="H10" i="6"/>
  <c r="H11" i="6"/>
  <c r="H12" i="6"/>
  <c r="H13" i="6"/>
  <c r="H14" i="6"/>
  <c r="H15" i="6"/>
  <c r="H16" i="6"/>
  <c r="H17" i="6"/>
  <c r="H19" i="6"/>
  <c r="H20" i="6"/>
  <c r="H21" i="6"/>
  <c r="H23" i="6"/>
  <c r="H25" i="6"/>
  <c r="H30" i="6"/>
  <c r="H31" i="6"/>
  <c r="H32" i="6"/>
  <c r="H34" i="6"/>
  <c r="H35" i="6"/>
  <c r="H36" i="6"/>
  <c r="H37" i="6"/>
  <c r="H38" i="6"/>
  <c r="H39" i="6"/>
  <c r="H41" i="6"/>
  <c r="H45" i="6"/>
  <c r="H46" i="6"/>
  <c r="H47" i="6"/>
  <c r="F30" i="9" l="1"/>
  <c r="F31" i="9"/>
  <c r="G31" i="9" s="1"/>
  <c r="H31" i="9" s="1"/>
  <c r="I31" i="9" s="1"/>
  <c r="H4" i="9"/>
  <c r="I4" i="9" s="1"/>
  <c r="X4" i="9"/>
  <c r="G8" i="9"/>
  <c r="P8" i="9"/>
  <c r="G15" i="9"/>
  <c r="P15" i="9"/>
  <c r="G7" i="9"/>
  <c r="P7" i="9"/>
  <c r="G22" i="9"/>
  <c r="P22" i="9"/>
  <c r="K22" i="9"/>
  <c r="G14" i="9"/>
  <c r="P14" i="9"/>
  <c r="G6" i="9"/>
  <c r="P6" i="9"/>
  <c r="G21" i="9"/>
  <c r="P21" i="9"/>
  <c r="K21" i="9"/>
  <c r="G20" i="9"/>
  <c r="P20" i="9"/>
  <c r="K20" i="9"/>
  <c r="G12" i="9"/>
  <c r="P12" i="9"/>
  <c r="G19" i="9"/>
  <c r="P19" i="9"/>
  <c r="K19" i="9"/>
  <c r="G11" i="9"/>
  <c r="P11" i="9"/>
  <c r="G16" i="9"/>
  <c r="P16" i="9"/>
  <c r="K16" i="9"/>
  <c r="G5" i="9"/>
  <c r="P5" i="9"/>
  <c r="G18" i="9"/>
  <c r="P18" i="9"/>
  <c r="K18" i="9"/>
  <c r="G10" i="9"/>
  <c r="P10" i="9"/>
  <c r="G13" i="9"/>
  <c r="P13" i="9"/>
  <c r="G17" i="9"/>
  <c r="P17" i="9"/>
  <c r="K17" i="9"/>
  <c r="G9" i="9"/>
  <c r="P9" i="9"/>
  <c r="D42" i="13"/>
  <c r="E42" i="13" s="1"/>
  <c r="D37" i="13"/>
  <c r="E37" i="13" s="1"/>
  <c r="D41" i="13"/>
  <c r="E41" i="13" s="1"/>
  <c r="D39" i="13"/>
  <c r="E39" i="13" s="1"/>
  <c r="D40" i="13"/>
  <c r="E40" i="13" s="1"/>
  <c r="D43" i="13"/>
  <c r="E43" i="13" s="1"/>
  <c r="D38" i="13"/>
  <c r="E38" i="13" s="1"/>
  <c r="D10" i="49" l="1"/>
  <c r="H14" i="9"/>
  <c r="I14" i="9" s="1"/>
  <c r="X14" i="9"/>
  <c r="H9" i="9"/>
  <c r="I9" i="9" s="1"/>
  <c r="X9" i="9"/>
  <c r="H8" i="9"/>
  <c r="I8" i="9" s="1"/>
  <c r="X8" i="9"/>
  <c r="H18" i="9"/>
  <c r="I18" i="9" s="1"/>
  <c r="X18" i="9"/>
  <c r="H17" i="9"/>
  <c r="I17" i="9" s="1"/>
  <c r="X17" i="9"/>
  <c r="H20" i="9"/>
  <c r="I20" i="9" s="1"/>
  <c r="X20" i="9"/>
  <c r="H11" i="9"/>
  <c r="I11" i="9" s="1"/>
  <c r="X11" i="9"/>
  <c r="H22" i="9"/>
  <c r="I22" i="9" s="1"/>
  <c r="X22" i="9"/>
  <c r="H19" i="9"/>
  <c r="I19" i="9" s="1"/>
  <c r="X19" i="9"/>
  <c r="H21" i="9"/>
  <c r="I21" i="9" s="1"/>
  <c r="X21" i="9"/>
  <c r="H13" i="9"/>
  <c r="I13" i="9" s="1"/>
  <c r="X13" i="9"/>
  <c r="H7" i="9"/>
  <c r="I7" i="9" s="1"/>
  <c r="X7" i="9"/>
  <c r="H12" i="9"/>
  <c r="I12" i="9" s="1"/>
  <c r="X12" i="9"/>
  <c r="H10" i="9"/>
  <c r="I10" i="9" s="1"/>
  <c r="X10" i="9"/>
  <c r="H16" i="9"/>
  <c r="I16" i="9" s="1"/>
  <c r="X16" i="9"/>
  <c r="H15" i="9"/>
  <c r="I15" i="9" s="1"/>
  <c r="X15" i="9"/>
  <c r="H5" i="9"/>
  <c r="I5" i="9" s="1"/>
  <c r="X5" i="9"/>
  <c r="H6" i="9"/>
  <c r="I6" i="9" s="1"/>
  <c r="X6" i="9"/>
  <c r="E47" i="13"/>
  <c r="C52" i="13" s="1"/>
  <c r="C53" i="13" s="1"/>
  <c r="P28" i="9"/>
  <c r="F34" i="9" s="1"/>
  <c r="F6" i="4" l="1"/>
  <c r="G6" i="4" s="1"/>
  <c r="E6" i="47" s="1"/>
  <c r="F12" i="4"/>
  <c r="F20" i="4"/>
  <c r="F25" i="4"/>
  <c r="G25" i="4" s="1"/>
  <c r="F13" i="4"/>
  <c r="F26" i="4"/>
  <c r="G26" i="4" s="1"/>
  <c r="F14" i="4"/>
  <c r="F22" i="4"/>
  <c r="F7" i="4"/>
  <c r="F15" i="4"/>
  <c r="F8" i="4"/>
  <c r="F16" i="4"/>
  <c r="F24" i="4"/>
  <c r="F9" i="4"/>
  <c r="F17" i="4"/>
  <c r="F5" i="4"/>
  <c r="F10" i="4"/>
  <c r="F18" i="4"/>
  <c r="F11" i="4"/>
  <c r="F21" i="4"/>
  <c r="F23" i="4"/>
  <c r="F19" i="4"/>
  <c r="G18" i="4"/>
  <c r="E13" i="47"/>
  <c r="H13" i="47" s="1"/>
  <c r="G7" i="4"/>
  <c r="G8" i="4"/>
  <c r="G11" i="4"/>
  <c r="D6" i="50"/>
  <c r="F6" i="50"/>
  <c r="C6" i="50"/>
  <c r="E6" i="50"/>
  <c r="F5" i="47"/>
  <c r="G15" i="4"/>
  <c r="F32" i="9"/>
  <c r="G30" i="9"/>
  <c r="D13" i="47" l="1"/>
  <c r="C13" i="47" s="1"/>
  <c r="H6" i="47"/>
  <c r="E9" i="47"/>
  <c r="E7" i="47"/>
  <c r="G9" i="47"/>
  <c r="H9" i="47" s="1"/>
  <c r="G7" i="47"/>
  <c r="H7" i="47" s="1"/>
  <c r="G17" i="4"/>
  <c r="G16" i="4"/>
  <c r="G23" i="4"/>
  <c r="G14" i="4"/>
  <c r="G19" i="4"/>
  <c r="G21" i="4"/>
  <c r="E15" i="56"/>
  <c r="G9" i="4"/>
  <c r="G13" i="4"/>
  <c r="G5" i="4"/>
  <c r="G20" i="4"/>
  <c r="G10" i="4"/>
  <c r="D13" i="56"/>
  <c r="C14" i="56"/>
  <c r="G22" i="4"/>
  <c r="G12" i="4"/>
  <c r="G24" i="4"/>
  <c r="H30" i="9"/>
  <c r="I30" i="9" s="1"/>
  <c r="E9" i="56"/>
  <c r="G9" i="56"/>
  <c r="D9" i="56"/>
  <c r="F9" i="56"/>
  <c r="C9" i="56"/>
  <c r="E41" i="50"/>
  <c r="E51" i="50" s="1"/>
  <c r="E56" i="50" s="1"/>
  <c r="E19" i="50"/>
  <c r="E24" i="50" s="1"/>
  <c r="F6" i="54" s="1"/>
  <c r="E5" i="56"/>
  <c r="C5" i="56"/>
  <c r="C41" i="50"/>
  <c r="C51" i="50" s="1"/>
  <c r="C56" i="50" s="1"/>
  <c r="C19" i="50"/>
  <c r="C24" i="50" s="1"/>
  <c r="D6" i="54" s="1"/>
  <c r="H6" i="54"/>
  <c r="G5" i="56"/>
  <c r="F5" i="56"/>
  <c r="F41" i="50"/>
  <c r="F51" i="50" s="1"/>
  <c r="F56" i="50" s="1"/>
  <c r="F19" i="50"/>
  <c r="F24" i="50" s="1"/>
  <c r="G6" i="54" s="1"/>
  <c r="D5" i="56"/>
  <c r="D19" i="50"/>
  <c r="D24" i="50" s="1"/>
  <c r="E6" i="54" s="1"/>
  <c r="D41" i="50"/>
  <c r="D51" i="50" s="1"/>
  <c r="D56" i="50" s="1"/>
  <c r="F12" i="56"/>
  <c r="G12" i="56"/>
  <c r="D12" i="56"/>
  <c r="E12" i="56"/>
  <c r="C12" i="56"/>
  <c r="D6" i="47" l="1"/>
  <c r="C6" i="47" s="1"/>
  <c r="E8" i="47"/>
  <c r="G8" i="47" s="1"/>
  <c r="H8" i="47" s="1"/>
  <c r="E11" i="47"/>
  <c r="G11" i="47" s="1"/>
  <c r="H11" i="47" s="1"/>
  <c r="E5" i="47"/>
  <c r="G5" i="47"/>
  <c r="H5" i="47" s="1"/>
  <c r="E10" i="47"/>
  <c r="G15" i="56"/>
  <c r="E12" i="47"/>
  <c r="E14" i="56"/>
  <c r="D15" i="56"/>
  <c r="C15" i="56"/>
  <c r="D14" i="56"/>
  <c r="F14" i="56"/>
  <c r="F13" i="56"/>
  <c r="E13" i="56"/>
  <c r="F15" i="56"/>
  <c r="C13" i="56"/>
  <c r="G13" i="56"/>
  <c r="G14" i="56"/>
  <c r="D26" i="56"/>
  <c r="D7" i="56"/>
  <c r="F26" i="56"/>
  <c r="F7" i="56"/>
  <c r="C26" i="56"/>
  <c r="C7" i="56"/>
  <c r="G26" i="56"/>
  <c r="G7" i="56"/>
  <c r="E26" i="56"/>
  <c r="E7" i="56"/>
  <c r="G10" i="47" l="1"/>
  <c r="H10" i="47" s="1"/>
  <c r="G12" i="47"/>
  <c r="H12" i="47" s="1"/>
  <c r="I161" i="2"/>
  <c r="D10" i="47" l="1"/>
  <c r="C10" i="47" s="1"/>
  <c r="D12" i="47"/>
  <c r="C12" i="47" s="1"/>
  <c r="D7" i="47" l="1"/>
  <c r="C7" i="47" s="1"/>
  <c r="D5" i="47"/>
  <c r="C5" i="47" s="1"/>
  <c r="D11" i="47"/>
  <c r="C11" i="47" s="1"/>
  <c r="D9" i="47"/>
  <c r="C9" i="47" s="1"/>
  <c r="D8" i="47"/>
  <c r="C8" i="47" s="1"/>
  <c r="F43" i="50" l="1"/>
  <c r="C8" i="50"/>
  <c r="E43" i="50"/>
  <c r="D43" i="50" l="1"/>
  <c r="C43" i="50"/>
  <c r="D8" i="50"/>
  <c r="E8" i="50"/>
  <c r="F8" i="50"/>
  <c r="C28" i="50" l="1"/>
  <c r="J56" i="50" s="1"/>
  <c r="F28" i="50"/>
  <c r="M56" i="50" s="1"/>
  <c r="N57" i="50"/>
  <c r="N56" i="50"/>
  <c r="D28" i="50"/>
  <c r="K56" i="50" s="1"/>
  <c r="E28" i="50"/>
  <c r="L56" i="50" s="1"/>
  <c r="E61" i="50" l="1"/>
  <c r="E62" i="50" s="1"/>
  <c r="E60" i="50"/>
  <c r="L57" i="50" s="1"/>
  <c r="C60" i="50"/>
  <c r="J57" i="50" s="1"/>
  <c r="C61" i="50"/>
  <c r="C62" i="50" s="1"/>
  <c r="D60" i="50"/>
  <c r="K57" i="50" s="1"/>
  <c r="D61" i="50"/>
  <c r="D62" i="50" s="1"/>
  <c r="F61" i="50"/>
  <c r="F62" i="50" s="1"/>
  <c r="F60" i="50"/>
  <c r="M57" i="50" s="1"/>
  <c r="D42" i="50" l="1"/>
  <c r="D45" i="50" s="1"/>
  <c r="D57" i="50" s="1"/>
  <c r="F7" i="50"/>
  <c r="F10" i="50" s="1"/>
  <c r="F14" i="50" s="1"/>
  <c r="G4" i="54" s="1"/>
  <c r="E7" i="50"/>
  <c r="D7" i="50"/>
  <c r="D18" i="50" s="1"/>
  <c r="D23" i="50" s="1"/>
  <c r="E5" i="54" s="1"/>
  <c r="C7" i="50"/>
  <c r="C18" i="50" s="1"/>
  <c r="C23" i="50" s="1"/>
  <c r="D5" i="54" s="1"/>
  <c r="G27" i="56"/>
  <c r="G30" i="56" s="1"/>
  <c r="F27" i="56"/>
  <c r="F30" i="56" s="1"/>
  <c r="E27" i="56"/>
  <c r="E30" i="56" s="1"/>
  <c r="D27" i="56"/>
  <c r="D30" i="56" s="1"/>
  <c r="C27" i="56"/>
  <c r="C30" i="56" s="1"/>
  <c r="E42" i="50"/>
  <c r="E45" i="50" s="1"/>
  <c r="E57" i="50" s="1"/>
  <c r="C42" i="50"/>
  <c r="C45" i="50" s="1"/>
  <c r="C57" i="50" s="1"/>
  <c r="F42" i="50"/>
  <c r="D10" i="50" l="1"/>
  <c r="D14" i="50" s="1"/>
  <c r="D15" i="50" s="1"/>
  <c r="F15" i="50"/>
  <c r="F18" i="50"/>
  <c r="F20" i="50" s="1"/>
  <c r="F25" i="50" s="1"/>
  <c r="F26" i="50" s="1"/>
  <c r="M54" i="50" s="1"/>
  <c r="D11" i="50"/>
  <c r="D20" i="50"/>
  <c r="D25" i="50" s="1"/>
  <c r="D12" i="50"/>
  <c r="C20" i="50"/>
  <c r="C25" i="50" s="1"/>
  <c r="C12" i="50"/>
  <c r="C11" i="50"/>
  <c r="C10" i="50"/>
  <c r="C14" i="50" s="1"/>
  <c r="C15" i="50" s="1"/>
  <c r="E58" i="50"/>
  <c r="L55" i="50" s="1"/>
  <c r="D58" i="50"/>
  <c r="K55" i="50" s="1"/>
  <c r="C58" i="50"/>
  <c r="J55" i="50" s="1"/>
  <c r="N55" i="50"/>
  <c r="E50" i="50"/>
  <c r="D50" i="50"/>
  <c r="C50" i="50"/>
  <c r="F45" i="50"/>
  <c r="F57" i="50" s="1"/>
  <c r="F50" i="50"/>
  <c r="E10" i="50"/>
  <c r="E14" i="50" s="1"/>
  <c r="E18" i="50"/>
  <c r="F23" i="50" l="1"/>
  <c r="G5" i="54" s="1"/>
  <c r="E4" i="54"/>
  <c r="F12" i="50"/>
  <c r="F11" i="50"/>
  <c r="D26" i="50"/>
  <c r="K54" i="50" s="1"/>
  <c r="C26" i="50"/>
  <c r="J54" i="50" s="1"/>
  <c r="D4" i="54"/>
  <c r="C55" i="50"/>
  <c r="C47" i="50"/>
  <c r="C46" i="50"/>
  <c r="D55" i="50"/>
  <c r="D46" i="50"/>
  <c r="D47" i="50"/>
  <c r="F47" i="50"/>
  <c r="F46" i="50"/>
  <c r="E55" i="50"/>
  <c r="E47" i="50"/>
  <c r="E46" i="50"/>
  <c r="F58" i="50"/>
  <c r="M55" i="50" s="1"/>
  <c r="H5" i="54"/>
  <c r="E52" i="50"/>
  <c r="E23" i="50"/>
  <c r="F5" i="54" s="1"/>
  <c r="E12" i="50"/>
  <c r="E11" i="50"/>
  <c r="E20" i="50"/>
  <c r="E25" i="50" s="1"/>
  <c r="D52" i="50"/>
  <c r="E15" i="50"/>
  <c r="F4" i="54"/>
  <c r="C52" i="50"/>
  <c r="F52" i="50"/>
  <c r="F55" i="50"/>
  <c r="H4" i="54" l="1"/>
  <c r="E26" i="50"/>
  <c r="L54" i="50" s="1"/>
  <c r="N54" i="50"/>
</calcChain>
</file>

<file path=xl/comments1.xml><?xml version="1.0" encoding="utf-8"?>
<comments xmlns="http://schemas.openxmlformats.org/spreadsheetml/2006/main">
  <authors>
    <author>Afeef Mahmood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per mtr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100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50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500 depressors</t>
        </r>
      </text>
    </comment>
  </commentList>
</comments>
</file>

<file path=xl/comments2.xml><?xml version="1.0" encoding="utf-8"?>
<comments xmlns="http://schemas.openxmlformats.org/spreadsheetml/2006/main">
  <authors>
    <author>Afeef Mahmood</author>
    <author>Afeef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Punjab Health Situation Analysis, Health sector strategy, GoPb 2011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
table HH.2 (caclulated)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2011, table HH.2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 xml:space="preserve">Afeef:
</t>
        </r>
        <r>
          <rPr>
            <sz val="9"/>
            <color indexed="81"/>
            <rFont val="Tahoma"/>
            <family val="2"/>
          </rPr>
          <t>MICS Punjab 2011, table HH.4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
table HH.2 (caclulated)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2011. table HH.5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CBR = Index mundi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presentation to DFID-P, Georgia 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</commentList>
</comments>
</file>

<file path=xl/sharedStrings.xml><?xml version="1.0" encoding="utf-8"?>
<sst xmlns="http://schemas.openxmlformats.org/spreadsheetml/2006/main" count="1570" uniqueCount="705">
  <si>
    <t>Description</t>
  </si>
  <si>
    <t>Quantity</t>
  </si>
  <si>
    <t>Cost</t>
  </si>
  <si>
    <t>Unit</t>
  </si>
  <si>
    <t>Days</t>
  </si>
  <si>
    <t>Number of</t>
  </si>
  <si>
    <t>Units per dose</t>
  </si>
  <si>
    <t>Times</t>
  </si>
  <si>
    <t>Total</t>
  </si>
  <si>
    <t>Cost per treatment</t>
  </si>
  <si>
    <t>Benzyl Penicillin</t>
  </si>
  <si>
    <t>Ispaghula</t>
  </si>
  <si>
    <t>Benzoin compound</t>
  </si>
  <si>
    <t xml:space="preserve">Tincture </t>
  </si>
  <si>
    <t>Sodium Bicarbonate</t>
  </si>
  <si>
    <t>OPV</t>
  </si>
  <si>
    <t>Measles vaccine</t>
  </si>
  <si>
    <t>Hepatitis B vaccine</t>
  </si>
  <si>
    <t xml:space="preserve">Tetanus toxoid </t>
  </si>
  <si>
    <t>No.</t>
  </si>
  <si>
    <t>Acetaminophin (paracetamol)Tablet,500 mg Strip/blister</t>
  </si>
  <si>
    <t>Acetaminophin (paracetamol)Suppository 250 mg</t>
  </si>
  <si>
    <t>IbuprofenSyrup 100mg/5ml</t>
  </si>
  <si>
    <t>Details</t>
  </si>
  <si>
    <t>Rural Health Centre</t>
  </si>
  <si>
    <t>Antenatal Services</t>
  </si>
  <si>
    <t>Visit 1</t>
  </si>
  <si>
    <t>x</t>
  </si>
  <si>
    <t>Visit 2</t>
  </si>
  <si>
    <t>Visit 3</t>
  </si>
  <si>
    <t>Visit 4</t>
  </si>
  <si>
    <t>Delivery Care</t>
  </si>
  <si>
    <t>Normal Delivery</t>
  </si>
  <si>
    <t>Assisted Vaginal Delivery</t>
  </si>
  <si>
    <t>Post Partum Care</t>
  </si>
  <si>
    <t>Management of PPH</t>
  </si>
  <si>
    <t>Care of Newborn</t>
  </si>
  <si>
    <t>Immediate care</t>
  </si>
  <si>
    <t>Care during the 1st day</t>
  </si>
  <si>
    <t>Child Health</t>
  </si>
  <si>
    <t>Growth Monitoring</t>
  </si>
  <si>
    <t>Management of ARI:</t>
  </si>
  <si>
    <t xml:space="preserve">   -child with cough and fever</t>
  </si>
  <si>
    <t xml:space="preserve">   -child with pneumonia</t>
  </si>
  <si>
    <t xml:space="preserve">   -child with severe pneumonia</t>
  </si>
  <si>
    <t xml:space="preserve">   -child with very severe disease</t>
  </si>
  <si>
    <t xml:space="preserve">   -child with wheeze</t>
  </si>
  <si>
    <t xml:space="preserve">   -child with ear infection</t>
  </si>
  <si>
    <t>Health education on ARI (per case)</t>
  </si>
  <si>
    <t>Management of Diarrhoea:</t>
  </si>
  <si>
    <t xml:space="preserve">   -with additional problems</t>
  </si>
  <si>
    <t>Dysentry</t>
  </si>
  <si>
    <t>Health education on Diarrhea/ORT</t>
  </si>
  <si>
    <t>Management of fever</t>
  </si>
  <si>
    <t>Management of severly ill child</t>
  </si>
  <si>
    <t>Visit for school health services</t>
  </si>
  <si>
    <t>Adoloscent health</t>
  </si>
  <si>
    <t>Health education to youth (as per defined package)</t>
  </si>
  <si>
    <t>Family Planning</t>
  </si>
  <si>
    <t>Counselling on family planning to enhance CPR</t>
  </si>
  <si>
    <t>Clinical examination</t>
  </si>
  <si>
    <t>Injections</t>
  </si>
  <si>
    <t>Insert IUCDs</t>
  </si>
  <si>
    <t>Oral Contraceptives</t>
  </si>
  <si>
    <t>Immunisation</t>
  </si>
  <si>
    <t>Routine immunisation</t>
  </si>
  <si>
    <t>Campaigns (NIDs)</t>
  </si>
  <si>
    <t>Motivating families</t>
  </si>
  <si>
    <t>Treatment of common injuries</t>
  </si>
  <si>
    <t>Wound dressing</t>
  </si>
  <si>
    <t>Snake bites</t>
  </si>
  <si>
    <t>Dog bites</t>
  </si>
  <si>
    <t>Fractures/dislocations</t>
  </si>
  <si>
    <t>Sprains/strains</t>
  </si>
  <si>
    <t>For accidents</t>
  </si>
  <si>
    <t>CPR</t>
  </si>
  <si>
    <t>Managemet and control of endemic communicable diseases</t>
  </si>
  <si>
    <t>Common cold and cough</t>
  </si>
  <si>
    <t>Acute Bronchitis</t>
  </si>
  <si>
    <t>Pneumonia</t>
  </si>
  <si>
    <t>Lower RTI</t>
  </si>
  <si>
    <t>Acute diarrhoea</t>
  </si>
  <si>
    <t>Chronic diarrhoea</t>
  </si>
  <si>
    <t>Health education on hand washing</t>
  </si>
  <si>
    <t>Identification of TB suspects</t>
  </si>
  <si>
    <t>Health education related to TB</t>
  </si>
  <si>
    <t>Clincal diagnosis of malaria</t>
  </si>
  <si>
    <t>Lab diagnosos of malaria</t>
  </si>
  <si>
    <t>Malaria related health education</t>
  </si>
  <si>
    <t>Common wounds and infections</t>
  </si>
  <si>
    <t>Scabies</t>
  </si>
  <si>
    <t>Diagnosis of STIs</t>
  </si>
  <si>
    <t>Lab diagnosis of STIs</t>
  </si>
  <si>
    <t>Diagnosis of Hepatitis</t>
  </si>
  <si>
    <t>Lab examination</t>
  </si>
  <si>
    <t>Health education on transmission of hepatitis</t>
  </si>
  <si>
    <t>Health education on transmission of HIV/AIDS</t>
  </si>
  <si>
    <t>Management and control endemic non communicable diseases</t>
  </si>
  <si>
    <t>Clinical diagnosis of hypertension</t>
  </si>
  <si>
    <t>Hypertension related health education</t>
  </si>
  <si>
    <t>Clinical diagnosis of diabetes mellitus</t>
  </si>
  <si>
    <t>Lab tests for diabetes mellitus</t>
  </si>
  <si>
    <t>Diabetes mellitus related health education</t>
  </si>
  <si>
    <t>Clinical diagnosis of asthma</t>
  </si>
  <si>
    <t>Lab tests for asthma</t>
  </si>
  <si>
    <t>Diagnosis of COPD</t>
  </si>
  <si>
    <t>Lab tests for COPD</t>
  </si>
  <si>
    <t>Clinical diagnosis cancer</t>
  </si>
  <si>
    <t>Disability Prevention</t>
  </si>
  <si>
    <t>Identification of visual impairment</t>
  </si>
  <si>
    <t>Identification of hearing disability</t>
  </si>
  <si>
    <t>Identificaiton of orthopedic disability</t>
  </si>
  <si>
    <t>Promotio of iodine salt</t>
  </si>
  <si>
    <t>Identificaiton of goiter</t>
  </si>
  <si>
    <t>Diagnosis of common eye diseases</t>
  </si>
  <si>
    <t>Refraction services</t>
  </si>
  <si>
    <t>Detection of cataract cases</t>
  </si>
  <si>
    <t>Mental Health</t>
  </si>
  <si>
    <t>Identificaiton of:</t>
  </si>
  <si>
    <t xml:space="preserve">   -attention defecit disorder</t>
  </si>
  <si>
    <t xml:space="preserve">   -obsessive compulsory behavior</t>
  </si>
  <si>
    <t xml:space="preserve">   -panic disorder</t>
  </si>
  <si>
    <t xml:space="preserve">   -bipolar disorder</t>
  </si>
  <si>
    <t xml:space="preserve">   -depression</t>
  </si>
  <si>
    <t xml:space="preserve">   -schizophrenia</t>
  </si>
  <si>
    <t xml:space="preserve">   -alcohol abuse and dependence</t>
  </si>
  <si>
    <t xml:space="preserve">   -drug abuse</t>
  </si>
  <si>
    <t>Oral Health Services</t>
  </si>
  <si>
    <t>Tooth extraction</t>
  </si>
  <si>
    <t>Scaling</t>
  </si>
  <si>
    <t>Filling</t>
  </si>
  <si>
    <t>Management of gingivitis and oral ailments</t>
  </si>
  <si>
    <t>Laboratory technician</t>
  </si>
  <si>
    <t>X Ray  technician</t>
  </si>
  <si>
    <t>Optician</t>
  </si>
  <si>
    <t>Dental Surgeon</t>
  </si>
  <si>
    <t>Dental technicians</t>
  </si>
  <si>
    <t>Medical Officer</t>
  </si>
  <si>
    <t>Health Educator</t>
  </si>
  <si>
    <t>Medical Technician</t>
  </si>
  <si>
    <t>EPI Technician</t>
  </si>
  <si>
    <t>Laboratory Technician</t>
  </si>
  <si>
    <t>X-Ray Technician</t>
  </si>
  <si>
    <t>Midwife</t>
  </si>
  <si>
    <t>Dental Technician</t>
  </si>
  <si>
    <t>Sulfamethoxazole + TrimethoprimOral suspension 200mg+40mg/5ml</t>
  </si>
  <si>
    <t>CeftriaxoneInj. 250mg</t>
  </si>
  <si>
    <t>IbuprofenTablets 400mg Strip/blister</t>
  </si>
  <si>
    <t>Supplies</t>
  </si>
  <si>
    <t>Absorbent cotton wool, 500 g</t>
  </si>
  <si>
    <t>Crepe elastic bandage 7.5cm x 5m, per (roll)</t>
  </si>
  <si>
    <t>Gauze roll 90cm x 100M non-sterile, with selvedges, absorbent 100% cotton</t>
  </si>
  <si>
    <t>Crepe elastic bandage, cotton (crepe) 5cm x 5 meter, roll</t>
  </si>
  <si>
    <t>Dexon</t>
  </si>
  <si>
    <t>Silk braided</t>
  </si>
  <si>
    <t>Vicryl</t>
  </si>
  <si>
    <t>IV Cannula, short, 20G (1.1x32mm)</t>
  </si>
  <si>
    <t>IV Cannula, short, 22G (1.1x32mm)</t>
  </si>
  <si>
    <t>IV Cannula, short, 24 G (1.1x32mm)</t>
  </si>
  <si>
    <t>Unit Cost</t>
  </si>
  <si>
    <t>Total Cost</t>
  </si>
  <si>
    <t>DRUGS</t>
  </si>
  <si>
    <t>SUPPLIES</t>
  </si>
  <si>
    <t>LAB INVESTIGATIONS</t>
  </si>
  <si>
    <t>Services</t>
  </si>
  <si>
    <t>BHU</t>
  </si>
  <si>
    <t>RHC</t>
  </si>
  <si>
    <t>Rs.</t>
  </si>
  <si>
    <t>Laboratory Services</t>
  </si>
  <si>
    <t>A</t>
  </si>
  <si>
    <t xml:space="preserve">Hematology </t>
  </si>
  <si>
    <t>i</t>
  </si>
  <si>
    <t>Hemoglobin</t>
  </si>
  <si>
    <t>Yes</t>
  </si>
  <si>
    <t>ii</t>
  </si>
  <si>
    <t>Red and white blood cell count</t>
  </si>
  <si>
    <t>iii</t>
  </si>
  <si>
    <t>Differential cell count</t>
  </si>
  <si>
    <t>iv</t>
  </si>
  <si>
    <t>ESR</t>
  </si>
  <si>
    <t>v</t>
  </si>
  <si>
    <t>Hematocrit</t>
  </si>
  <si>
    <t>vi</t>
  </si>
  <si>
    <t>Malaria parasite smear (MPS)</t>
  </si>
  <si>
    <t>vii</t>
  </si>
  <si>
    <t>Bleeding time and coagulation time</t>
  </si>
  <si>
    <t>viii</t>
  </si>
  <si>
    <t>Blood grouping and Rh factors</t>
  </si>
  <si>
    <t>ix</t>
  </si>
  <si>
    <t xml:space="preserve">Hepatitis B </t>
  </si>
  <si>
    <t>Hepatitis C</t>
  </si>
  <si>
    <t>Syphilis</t>
  </si>
  <si>
    <t>HIV test</t>
  </si>
  <si>
    <t>B</t>
  </si>
  <si>
    <t>Bacteriology</t>
  </si>
  <si>
    <t>Ziehl-Nielsen staining for acid fast bacilli (AFB)</t>
  </si>
  <si>
    <t>Direct smear for AFB</t>
  </si>
  <si>
    <t>Gram’s staining</t>
  </si>
  <si>
    <t>C</t>
  </si>
  <si>
    <t>Serology</t>
  </si>
  <si>
    <t>Typhi dot</t>
  </si>
  <si>
    <t>D</t>
  </si>
  <si>
    <t>Clinical Pathology</t>
  </si>
  <si>
    <t>Urine analysis: physical exam</t>
  </si>
  <si>
    <t>Chemical exam: Albumin (qualitative)</t>
  </si>
  <si>
    <t>Chemical exam: Albumin (quantitative)</t>
  </si>
  <si>
    <t>Chemical exam: Glucose (qualitative)</t>
  </si>
  <si>
    <t>Chemical exam: Glucose (quantitative)</t>
  </si>
  <si>
    <t>Microscopic (stool test)</t>
  </si>
  <si>
    <t>Macroscopic (stool test)</t>
  </si>
  <si>
    <t>Pregnancy test</t>
  </si>
  <si>
    <t>E</t>
  </si>
  <si>
    <t>Biochemistry</t>
  </si>
  <si>
    <t>Blood-sugar test</t>
  </si>
  <si>
    <t>Urea test</t>
  </si>
  <si>
    <t>Creatinine test</t>
  </si>
  <si>
    <t>Total protein test</t>
  </si>
  <si>
    <t>Simple liver-function test</t>
  </si>
  <si>
    <t>Brucellosis</t>
  </si>
  <si>
    <t>F</t>
  </si>
  <si>
    <t>Gram Stain</t>
  </si>
  <si>
    <t>Body fluids</t>
  </si>
  <si>
    <t>Imaging Services</t>
  </si>
  <si>
    <t>X-Rays</t>
  </si>
  <si>
    <t>Chest</t>
  </si>
  <si>
    <t>Abdomen</t>
  </si>
  <si>
    <t>Skeletal</t>
  </si>
  <si>
    <t>Ultrasound</t>
  </si>
  <si>
    <t>BPS</t>
  </si>
  <si>
    <t>House Rent</t>
  </si>
  <si>
    <t>Min Pay</t>
  </si>
  <si>
    <t>Max Pay</t>
  </si>
  <si>
    <t>Average Pay</t>
  </si>
  <si>
    <t>Total Pay</t>
  </si>
  <si>
    <t>Annual increment</t>
  </si>
  <si>
    <t xml:space="preserve">Allowances </t>
  </si>
  <si>
    <t xml:space="preserve">Month </t>
  </si>
  <si>
    <t>Annum</t>
  </si>
  <si>
    <t xml:space="preserve"> </t>
  </si>
  <si>
    <t>Pay Scales</t>
  </si>
  <si>
    <t>Medical Technician (pharmacy + dressing)</t>
  </si>
  <si>
    <t>Dai / midwife</t>
  </si>
  <si>
    <t>Ambulance driver</t>
  </si>
  <si>
    <t>Sweeper</t>
  </si>
  <si>
    <t>Gardner</t>
  </si>
  <si>
    <t>Guard</t>
  </si>
  <si>
    <t>Nurse</t>
  </si>
  <si>
    <t>Computer Operator</t>
  </si>
  <si>
    <t>Categories</t>
  </si>
  <si>
    <t>Number</t>
  </si>
  <si>
    <t>tab</t>
  </si>
  <si>
    <t>capsule</t>
  </si>
  <si>
    <t>vial</t>
  </si>
  <si>
    <t>Antenatal Care (4 visits package)</t>
  </si>
  <si>
    <t>Postpartum Care (2 PNC visits)</t>
  </si>
  <si>
    <t>Post Partum Care (including immedeate care of newborn)</t>
  </si>
  <si>
    <t>Care of newborn</t>
  </si>
  <si>
    <t>Delivery Care: Normal</t>
  </si>
  <si>
    <t>Delivery Care: Assisted</t>
  </si>
  <si>
    <t>Child with cough</t>
  </si>
  <si>
    <t>ARI</t>
  </si>
  <si>
    <t>Counselling on FP, e0clusive BF and Hygiene</t>
  </si>
  <si>
    <t>Teaching and counselling monther/family about handwashing, cord care, e0clusive breast feeding, keeping the baby warm, completing immunisation, recognising danger signes and taking appropriate actions</t>
  </si>
  <si>
    <t>Sputum smear e0amination</t>
  </si>
  <si>
    <t>0-Ray for Smear negative</t>
  </si>
  <si>
    <t xml:space="preserve">   -generalized an0iety disorder</t>
  </si>
  <si>
    <t>Child with pneumonia</t>
  </si>
  <si>
    <t>Child with wheeze</t>
  </si>
  <si>
    <t>Child with ear infection</t>
  </si>
  <si>
    <t>Diarrhoea</t>
  </si>
  <si>
    <t xml:space="preserve">   -some deyhdration</t>
  </si>
  <si>
    <t xml:space="preserve">   -no deyhdration</t>
  </si>
  <si>
    <t>Child with no dehydration</t>
  </si>
  <si>
    <t>Child with some dehydration</t>
  </si>
  <si>
    <t>Fever</t>
  </si>
  <si>
    <t>Condoms: initial visit</t>
  </si>
  <si>
    <t>Oral Contraceptives: follow-up visit</t>
  </si>
  <si>
    <t>Oral Contraceptives: initial visit</t>
  </si>
  <si>
    <t>IUCD: follow-up visit</t>
  </si>
  <si>
    <t>IUCD: initial visit</t>
  </si>
  <si>
    <t>Injections: follow-up visit</t>
  </si>
  <si>
    <t>Injections: initial visit</t>
  </si>
  <si>
    <t>Condoms: follow-up visit</t>
  </si>
  <si>
    <t>EPI</t>
  </si>
  <si>
    <t>Polio drops</t>
  </si>
  <si>
    <t>Injection BCG</t>
  </si>
  <si>
    <t>Injection Pentavalent</t>
  </si>
  <si>
    <t>Measles</t>
  </si>
  <si>
    <t>Respiratory Problem</t>
  </si>
  <si>
    <t>GI Problems</t>
  </si>
  <si>
    <t>Tuberculosis</t>
  </si>
  <si>
    <t>T.B Treatment: Category I</t>
  </si>
  <si>
    <t>T.B Treatment: Category II</t>
  </si>
  <si>
    <t>Malaria</t>
  </si>
  <si>
    <t>Typhoid</t>
  </si>
  <si>
    <t>Typhoid diagnosis and treatment</t>
  </si>
  <si>
    <t>Malaria diagnosis and treatment</t>
  </si>
  <si>
    <t>T.B diagnosis</t>
  </si>
  <si>
    <t>Leishmaniasis</t>
  </si>
  <si>
    <t>Leishmaniasis: diagnosis and treatment</t>
  </si>
  <si>
    <t>Brucellosis: diagnosis  and treatment</t>
  </si>
  <si>
    <t>Trachoma</t>
  </si>
  <si>
    <t>Trachoma: diagnosis and treatment</t>
  </si>
  <si>
    <t>Rural Health Centre: Time Esitmates by Health Worker</t>
  </si>
  <si>
    <t>Ferrous sulphate/fumerate+ folic acidTablet , equivalent to 60 mgiron+ folic acid 0.5mg</t>
  </si>
  <si>
    <t>dose</t>
  </si>
  <si>
    <t>Record</t>
  </si>
  <si>
    <t>Month</t>
  </si>
  <si>
    <t>Hour</t>
  </si>
  <si>
    <t>Minute</t>
  </si>
  <si>
    <t>Salary</t>
  </si>
  <si>
    <t>Acetaminophin (paracetamol)Syrup, 250 mg /5 ml</t>
  </si>
  <si>
    <t>ml</t>
  </si>
  <si>
    <t>Acetyl salicylic acid (aspirin)Tablet 500mg</t>
  </si>
  <si>
    <t>Activated charcoal powderPowder</t>
  </si>
  <si>
    <t xml:space="preserve">AdrenalineInj. </t>
  </si>
  <si>
    <t>AdrenalineInj. 1mg/ml</t>
  </si>
  <si>
    <t xml:space="preserve">AlbendazoleTab 400mg </t>
  </si>
  <si>
    <t>Aluminium Hydroxide +Magnesium HydroxideSusp. Aluminium, Hydroxide200mg+Magnesium Hydroxide 200mg/5ml</t>
  </si>
  <si>
    <t>AminophyllinInj. 250mg</t>
  </si>
  <si>
    <t>Amoxicillin + Clavulanic acidSyp. 125 + 31.25</t>
  </si>
  <si>
    <t>Amoxicillin + Clavulanic acidTablet 500 mg + 125 mg</t>
  </si>
  <si>
    <t>AmoxicillinCapsule or tablet, 250 mg (anhydrous) Strip/blister</t>
  </si>
  <si>
    <t>AmoxicillinPowder for oral suspension, 250 mg/5ml</t>
  </si>
  <si>
    <t>AmpicillinInj.250mg</t>
  </si>
  <si>
    <t>inj</t>
  </si>
  <si>
    <t>Angiotensin inhibitor (enalapril maleate)5mg</t>
  </si>
  <si>
    <t>ArtesunateTab. 50mg</t>
  </si>
  <si>
    <t>Ascorbic AcidTab. 100mg</t>
  </si>
  <si>
    <t>Atenolol 50mg</t>
  </si>
  <si>
    <t>Atropine SulphateInjection 0.5 mg/ ml Amp of 1ml</t>
  </si>
  <si>
    <t>AtropineInj. Atropine 1mg</t>
  </si>
  <si>
    <t>BCG</t>
  </si>
  <si>
    <t>B-ComplexSyp. B.Complex with Lysine120ml</t>
  </si>
  <si>
    <t>B-ComplexTab.B-Complex+Minerals</t>
  </si>
  <si>
    <t>Benzoic Acid +Salicylic AcidOintment or Cream 6% + 3%</t>
  </si>
  <si>
    <t>Benzoyl benzoateLotion 25%</t>
  </si>
  <si>
    <t>BisacodylTablet 5mg</t>
  </si>
  <si>
    <t>CalaminLotion 15%</t>
  </si>
  <si>
    <t>Calcium LactateTab. 10mg</t>
  </si>
  <si>
    <t xml:space="preserve">ChloramphenicolEar drops </t>
  </si>
  <si>
    <t>ChloramphenicolEye drops 0.5%</t>
  </si>
  <si>
    <t>ChloramphenicolEye-oint. 1%</t>
  </si>
  <si>
    <t>Chlorine Concentrated solution or powder</t>
  </si>
  <si>
    <t>ChloroquineSyrup, 50 mg/5ml (as phosphate or sulphate)</t>
  </si>
  <si>
    <t>ChloroquineTablet, 150 mg (as phosphate or sulfate) Strip/blister</t>
  </si>
  <si>
    <t>ChlorpheniramineSyrup ,2 mg /5 ml</t>
  </si>
  <si>
    <t>ChlorpheniramineTablet , 4 mg Strip/blister</t>
  </si>
  <si>
    <t>CiprofloxacinTab. 500mg</t>
  </si>
  <si>
    <t>Clotrimazole1 % Cream</t>
  </si>
  <si>
    <t>gm</t>
  </si>
  <si>
    <t>DexamethasoneTablet 0.5mg Strip/blister</t>
  </si>
  <si>
    <t>DextranInjection 6%</t>
  </si>
  <si>
    <t>DextroseInfusion 5% 1000ml</t>
  </si>
  <si>
    <t>DextroseInfusion 5% 500ml</t>
  </si>
  <si>
    <t>DiazepamInjection, 5 mg/ml in 2-ml ampoule</t>
  </si>
  <si>
    <t>DiazepamTab 5mg</t>
  </si>
  <si>
    <t>Diclofenac SodiumInjection 75mg/3ml</t>
  </si>
  <si>
    <t>amp</t>
  </si>
  <si>
    <t>Diclofenac SodiumTab. 50mg and 75 mg</t>
  </si>
  <si>
    <t>DigoxinTab. 250mcg</t>
  </si>
  <si>
    <t>Diloxanide FuroateTablets 500 mg</t>
  </si>
  <si>
    <t>DimenhydrinateInj. 10mg/2ml</t>
  </si>
  <si>
    <t>DimenhydrinateSyp.12.5mg/4ml</t>
  </si>
  <si>
    <t>DimenhydrinateTab.50mg</t>
  </si>
  <si>
    <t>Dispirin CV / LoprinTab. 75mg</t>
  </si>
  <si>
    <t>Doxycycline Cap. 100mg</t>
  </si>
  <si>
    <t>ErgometrineInj. 200mcg/ml</t>
  </si>
  <si>
    <t>ErythromycinSuspension 200mg/5ml</t>
  </si>
  <si>
    <t>ErythromycinTab. 250mg</t>
  </si>
  <si>
    <t>EthambutolTablet, 400 mg Strip/blister</t>
  </si>
  <si>
    <t>Ferrous SaltSyp. 25mg iron/ml</t>
  </si>
  <si>
    <t>FluoxetineCap 20mg</t>
  </si>
  <si>
    <t>cap</t>
  </si>
  <si>
    <t>Folic acidTab. 5mg</t>
  </si>
  <si>
    <t>FurosemideInjection Furosemide 20 mg/2ml (Amp of 2ml)</t>
  </si>
  <si>
    <t>FurosemideTablets 40 mg Strip/blister</t>
  </si>
  <si>
    <t xml:space="preserve">Gentian violetPaint 0.5%, </t>
  </si>
  <si>
    <t>GlibenclamideTab 5mg</t>
  </si>
  <si>
    <t>Glucose with sodium chlorideInjectable solution, 5% glucose, 0.18% sodium chloride 500ml with IV set</t>
  </si>
  <si>
    <t>Glucose with sodium chlorideInjectable solution, 5% glucose, 0.9% sodium chloride 1000ml with IV set</t>
  </si>
  <si>
    <t>GlycerineSuppository</t>
  </si>
  <si>
    <t>Glyceryl TrinitrateSublingual Tab. 0.5 mg</t>
  </si>
  <si>
    <t>GriseofulvinCapsules or Tablets 125 mg,</t>
  </si>
  <si>
    <t>HaemaccelInjectable solution 500ml With</t>
  </si>
  <si>
    <t>HydrochlorthiazideTablets 50 mg</t>
  </si>
  <si>
    <t>HydrocortisonePowder for inj.250mg (assodium succinate )in vial</t>
  </si>
  <si>
    <t>HydrocortisonePowder for injection , 100mg(as sodium succinate )in vial</t>
  </si>
  <si>
    <t>Hydrogen peroxideSoln. 6%</t>
  </si>
  <si>
    <t>Hyoscine butyl bromideInj. 20mg/2ml</t>
  </si>
  <si>
    <t>Hyoscine butyl bromideTablet10 mg</t>
  </si>
  <si>
    <t>Insulin Inj. 100 IU/ml</t>
  </si>
  <si>
    <t>InsulinInj. 40 IU/ml</t>
  </si>
  <si>
    <t>Isoniazide + EthambutolTablet, 150 mg + 400 mg Strip/blister</t>
  </si>
  <si>
    <t>IsoniazideTab 100mg</t>
  </si>
  <si>
    <t>IsosorbidedinitrateInj. 10mg/10ml</t>
  </si>
  <si>
    <t>IspaghullaIspaghulla Husk</t>
  </si>
  <si>
    <t>Levonorgestrel + ethinyl oestradiol Tab. 150mg + 30mg</t>
  </si>
  <si>
    <t>LevonorgestrelTab 30mcg, 750mcg, 1.5mg</t>
  </si>
  <si>
    <t>lignocaineInjection,2%(hydrochloride)in 10 -ml ampoule</t>
  </si>
  <si>
    <t>lignocaineTopical forms, 2% (HCl)</t>
  </si>
  <si>
    <t>Magnesium sulphateInj. 500mg/ml</t>
  </si>
  <si>
    <t>MebendazoleSyp 100mg/5ml in 30ml</t>
  </si>
  <si>
    <t>MebendazoleTablet,100 mg Strip/blister</t>
  </si>
  <si>
    <t>Medroxyprogesterone acetate (12 weekly)Inj. 150mg</t>
  </si>
  <si>
    <t>MedroxyprogesteroneTab. 5mg</t>
  </si>
  <si>
    <t>MetforminTablet HCI 500 mg</t>
  </si>
  <si>
    <t>MethyldopaTab. 250mg</t>
  </si>
  <si>
    <t>MetronidazoleOral suspension, 200 mg (as benzoate)/5 ml</t>
  </si>
  <si>
    <t>MetronidazoleTablet, 400 mg Strip/blister</t>
  </si>
  <si>
    <t>MiconazoleOintment or Cream 2%</t>
  </si>
  <si>
    <t>MisoprostolTab. 200mcg</t>
  </si>
  <si>
    <t>Nalidixic AcidTablets 250 mg, 500 mg</t>
  </si>
  <si>
    <t>NaloxoneInj. 400mcg/ml</t>
  </si>
  <si>
    <t>Neomycin +BacitracinOintment 5 mg + 500 IU</t>
  </si>
  <si>
    <t>Norethisterone + ethinyl oestradiol Tab. 1mg + 35mcg</t>
  </si>
  <si>
    <t>Norethisterone enantate (8 weekly)Inj. 200mg/ml</t>
  </si>
  <si>
    <t>NorfloxacinTablets 400 mg</t>
  </si>
  <si>
    <t>NystatinOral drops100,000 iu/ml</t>
  </si>
  <si>
    <t>NystatinTab 500,000 iu,</t>
  </si>
  <si>
    <t>OestradiolTab. 0.5mg</t>
  </si>
  <si>
    <t>OmeprazoleCap. 20mg</t>
  </si>
  <si>
    <t>Oral rehydration salt, glucose-salt solutionDry mixture (reduceosmolarity / glucose 75 meq/ 1, Sodium 75 meq / 1, Chloride 65 meq / 1, Potassium 20 meq/ 1, Citrate 10 meq / 1) insachet for 1 liter of solution</t>
  </si>
  <si>
    <t>pack</t>
  </si>
  <si>
    <t>Oral rehydration salt, glucose-salt solutionDry mixture(WHO formula) in sachet for 1 liter of soln.</t>
  </si>
  <si>
    <t>OxytocinInj. 10IU/ml</t>
  </si>
  <si>
    <t xml:space="preserve">Pentavalent </t>
  </si>
  <si>
    <t>Permethrin Cream 2.5%</t>
  </si>
  <si>
    <t>Polymixin B +Bacitracin ZincPolymyxin B Sulphate</t>
  </si>
  <si>
    <t>PolymyxinB + Bacitracin ZincEye oint. 10,000iu+500iu</t>
  </si>
  <si>
    <t>PolymyxinB+LignocaineHClEar Drops PolymyxinB 10,000iu+ Lignocaine HCl 50mg</t>
  </si>
  <si>
    <t>Povidone iodineSolution , 10%</t>
  </si>
  <si>
    <t>Prednisolone tab 5 mg</t>
  </si>
  <si>
    <t>Primaquine Tab 5 mg</t>
  </si>
  <si>
    <t>PropranololTablet 40mg Strips/blister</t>
  </si>
  <si>
    <t>PyridoxineTab. 50mg</t>
  </si>
  <si>
    <t>RanitidineTablets 150 mg</t>
  </si>
  <si>
    <t>Rifampacin + Isoniazide + Pyrazinamide+EthamutolTab.,150mg+75mg+400mg+275mg strip/blister</t>
  </si>
  <si>
    <t>Rifampicin+IsoniazidTablet, 150 mg + 100 mg strip/blister</t>
  </si>
  <si>
    <t>Rifampicin+IsoniazidTablet, 300 mg + 150 mg Strip/blister</t>
  </si>
  <si>
    <t>Ringer's LactateInjectable solution 1000ml with IV set</t>
  </si>
  <si>
    <t>Ringer's LactateInjectable solution 500ml With IV set</t>
  </si>
  <si>
    <t>SalbutamolRespirator solution, for use in nebulizers, 5mg (as sulfate)/ml</t>
  </si>
  <si>
    <t xml:space="preserve">SalbutamolSyp. </t>
  </si>
  <si>
    <t>SalbutamolTablet 4mg</t>
  </si>
  <si>
    <t>Silver sulphadiazene1% cream</t>
  </si>
  <si>
    <t>Soda glycerineEar drops</t>
  </si>
  <si>
    <t>Sodium chlorideInjectable soln.0.9%isotonic1000ml</t>
  </si>
  <si>
    <t>Spironolactone 25mg tab</t>
  </si>
  <si>
    <t>StreptomycinPowder for injection, 1g (assulfate) in vial</t>
  </si>
  <si>
    <t>Sulfadoxin+PyrimethamineSyp. Sulfadoxin500mg+Pyrimethamine25mg/5ml</t>
  </si>
  <si>
    <t>Sulfadoxin+PyrimethamineTab. Sulfadoxin500mg+Pyrimethamine25mg</t>
  </si>
  <si>
    <t>Sulfamethoxazole + TrimethoprimTablet, 400 mg + 80mg strip/blister</t>
  </si>
  <si>
    <t>SulphacetamideEye drops 10% in 10ml</t>
  </si>
  <si>
    <t>Tetracycline Eye oint. 1%</t>
  </si>
  <si>
    <t>mg</t>
  </si>
  <si>
    <t>Tetracycline Oint. 1%</t>
  </si>
  <si>
    <t>TetracyclineCapsules 250 mg</t>
  </si>
  <si>
    <t>TheophyllinTab.SR 350mg</t>
  </si>
  <si>
    <t>TinidazoleTablets 500 mg</t>
  </si>
  <si>
    <t>TremadolInj. 100 mg</t>
  </si>
  <si>
    <t>TriprolidineHCl. +Pseudoephedrine HCl +Dextromethorphan HBr.Syrup 5ml</t>
  </si>
  <si>
    <t>Vitamin ATab. 50,000iu</t>
  </si>
  <si>
    <t xml:space="preserve">Zinc sulphateSyp </t>
  </si>
  <si>
    <t>Zinc sulphateTab 20mg</t>
  </si>
  <si>
    <t>Standard Packaging</t>
  </si>
  <si>
    <t>Standard package</t>
  </si>
  <si>
    <t>Cost (PKR)</t>
  </si>
  <si>
    <t>Useage per dose</t>
  </si>
  <si>
    <t>Qty</t>
  </si>
  <si>
    <t>Standard Package</t>
  </si>
  <si>
    <t>Cost per use (PKR)</t>
  </si>
  <si>
    <t>cost (PKR)</t>
  </si>
  <si>
    <t>unit</t>
  </si>
  <si>
    <t>Bandage gauze cotton, 10cm x 4m, with selvedge,</t>
  </si>
  <si>
    <t xml:space="preserve">Bandage, elastic cotton crepe, 7.5cm x 5m, roll </t>
  </si>
  <si>
    <t>bandage</t>
  </si>
  <si>
    <t>roll</t>
  </si>
  <si>
    <t>Foley catheter sterile CH 18</t>
  </si>
  <si>
    <t>Foley catheter, sterile CH 10</t>
  </si>
  <si>
    <t>foley</t>
  </si>
  <si>
    <t>Foley catheter, sterile CH 12</t>
  </si>
  <si>
    <t>Foley catheter, sterile CH 14</t>
  </si>
  <si>
    <t>Foley catheter, sterile CH 16</t>
  </si>
  <si>
    <t>Gauze bandage 5cmx10m, absorbent wow</t>
  </si>
  <si>
    <t>Gauze pad / compress 10cm x 10cm, 12 ply sterile</t>
  </si>
  <si>
    <t>mtr</t>
  </si>
  <si>
    <t>Glove, examination, latex, non-sterile</t>
  </si>
  <si>
    <t>box</t>
  </si>
  <si>
    <t>cannula</t>
  </si>
  <si>
    <t>Needle disp 19G (1.1x40mm)</t>
  </si>
  <si>
    <t>Needle disp 21G (0.8x40mm)</t>
  </si>
  <si>
    <t>Needle disp 22G (0.7x30mm)</t>
  </si>
  <si>
    <t>Needle disp 23G (0.6x25mm)</t>
  </si>
  <si>
    <t>Needle disp 25G (0.5x16mm)</t>
  </si>
  <si>
    <t>Needle Luer, IM, disposable, 21G (0.8x38mm)</t>
  </si>
  <si>
    <t>Needle, scalp vein infusion set, disposable, 25 G (0.5x19mm)</t>
  </si>
  <si>
    <t>Razor safety, stainless steel</t>
  </si>
  <si>
    <t>dozen</t>
  </si>
  <si>
    <t>Suction tube CH 10, 50cm, sterile, disp, PVC</t>
  </si>
  <si>
    <t>Suction tube CH 14, 50cm, sterile, disp, PVC</t>
  </si>
  <si>
    <t>Suction tube CH 16, 50cm, sterile, disp, PVC</t>
  </si>
  <si>
    <t>Suction tube CH 8, 50cm, sterile, disp, PVC</t>
  </si>
  <si>
    <t>Syringe 10 ml with needle</t>
  </si>
  <si>
    <t xml:space="preserve">Tape adhesive, Zinc Oxide, </t>
  </si>
  <si>
    <t>Tongue depressor (wooden), disposable</t>
  </si>
  <si>
    <t>Syringe 5cc, Luer, sterile disposable, two piece (P/P or PEF)</t>
  </si>
  <si>
    <t>Syringe 50/60cc, Luer lock sterile disp, concentric tip</t>
  </si>
  <si>
    <t>Medicines</t>
  </si>
  <si>
    <t>Medicine List and Per Unit Cost</t>
  </si>
  <si>
    <t>Adj. Unit</t>
  </si>
  <si>
    <t>Adjustments</t>
  </si>
  <si>
    <t>Wastage</t>
  </si>
  <si>
    <t>Transportation</t>
  </si>
  <si>
    <t>Supplies List and Unit Cost</t>
  </si>
  <si>
    <t>adj.</t>
  </si>
  <si>
    <t>Chromic catgut sutures</t>
  </si>
  <si>
    <t>% cases</t>
  </si>
  <si>
    <t>Clean Delivery Kit</t>
  </si>
  <si>
    <t>Newborn Care</t>
  </si>
  <si>
    <t>Child with Diarrhea no Dehydration</t>
  </si>
  <si>
    <t>Child with Fever</t>
  </si>
  <si>
    <t>Pneumococcal</t>
  </si>
  <si>
    <t>Syringe for immunisation</t>
  </si>
  <si>
    <t>Condoms Male</t>
  </si>
  <si>
    <t>IUCDs- Copper T</t>
  </si>
  <si>
    <t>1 piece</t>
  </si>
  <si>
    <t>cycle</t>
  </si>
  <si>
    <t>Family Planning: Condoms</t>
  </si>
  <si>
    <t>Family Planning: Oral Contraceptives</t>
  </si>
  <si>
    <t>Family Planning: Injectables</t>
  </si>
  <si>
    <t>Benzyl Penicillin 1.2 MIU</t>
  </si>
  <si>
    <t>1 vial</t>
  </si>
  <si>
    <t>g</t>
  </si>
  <si>
    <t>Sexually Transmitted Infections</t>
  </si>
  <si>
    <t>Urinary Tract Infection</t>
  </si>
  <si>
    <t>Punjab</t>
  </si>
  <si>
    <t>Total Population</t>
  </si>
  <si>
    <t>Male Population</t>
  </si>
  <si>
    <t>Female Population</t>
  </si>
  <si>
    <t>MWRA</t>
  </si>
  <si>
    <t>Children Under 5</t>
  </si>
  <si>
    <t>Children 12-23 months</t>
  </si>
  <si>
    <t>WRA</t>
  </si>
  <si>
    <t>Live Births</t>
  </si>
  <si>
    <t>MMR (per 100,000 LB)</t>
  </si>
  <si>
    <t>NMR (per 1,000 LB)</t>
  </si>
  <si>
    <t>IMR (per 1,000 LB)</t>
  </si>
  <si>
    <t>U5MR</t>
  </si>
  <si>
    <t>Maternal Deaths</t>
  </si>
  <si>
    <t>Infant Deaths</t>
  </si>
  <si>
    <t>Neonatal Deaths (less than 28 days)</t>
  </si>
  <si>
    <t>Under 5 Deaths</t>
  </si>
  <si>
    <t>Salaries: Direct</t>
  </si>
  <si>
    <t>Salaries: Indirect</t>
  </si>
  <si>
    <t>Operational Cost</t>
  </si>
  <si>
    <t>Management Overhead</t>
  </si>
  <si>
    <t>Child: Diarrhea (no dehydration)</t>
  </si>
  <si>
    <t>Child: Fever</t>
  </si>
  <si>
    <t>Family Planning: Pills</t>
  </si>
  <si>
    <t>Family Planning: Injection</t>
  </si>
  <si>
    <t>Hepatitus B</t>
  </si>
  <si>
    <t>Salaries</t>
  </si>
  <si>
    <t xml:space="preserve">Lab </t>
  </si>
  <si>
    <t>Total Indirect Salaries</t>
  </si>
  <si>
    <t xml:space="preserve">Total </t>
  </si>
  <si>
    <t>Total Direct Salaries</t>
  </si>
  <si>
    <t>Indirect Salaries Charge Rate</t>
  </si>
  <si>
    <t>Inflation</t>
  </si>
  <si>
    <t>Other Stores</t>
  </si>
  <si>
    <t>Operating Expenditure</t>
  </si>
  <si>
    <t>Depreciation</t>
  </si>
  <si>
    <t>PKR</t>
  </si>
  <si>
    <t>Total Cost per Case</t>
  </si>
  <si>
    <t xml:space="preserve">Medicines, Supplies&amp;Lab </t>
  </si>
  <si>
    <t>USD</t>
  </si>
  <si>
    <t>USD Exchnage</t>
  </si>
  <si>
    <t>Cost Per Service Provided</t>
  </si>
  <si>
    <t>Lumpsum</t>
  </si>
  <si>
    <t>Expenditure Category</t>
  </si>
  <si>
    <t>Monthly</t>
  </si>
  <si>
    <t>Annual</t>
  </si>
  <si>
    <t>Notes</t>
  </si>
  <si>
    <t>Operational Cost as % of staff cost</t>
  </si>
  <si>
    <t>Operational Expenditure</t>
  </si>
  <si>
    <t>Test</t>
  </si>
  <si>
    <t>Diagnostics and Cost</t>
  </si>
  <si>
    <t>Medicines and Supplies</t>
  </si>
  <si>
    <t>Catchment Population</t>
  </si>
  <si>
    <t>Items</t>
  </si>
  <si>
    <t>Examination couch</t>
  </si>
  <si>
    <t>Total Cost (PKR)</t>
  </si>
  <si>
    <t>Depreciation (PKR)</t>
  </si>
  <si>
    <t>Stationery and printing</t>
  </si>
  <si>
    <t>Antenatal Care (4 visits)</t>
  </si>
  <si>
    <t>Postpartum (including 2 PNC visits)</t>
  </si>
  <si>
    <t>Cost per Capita</t>
  </si>
  <si>
    <t>Fixed Costs</t>
  </si>
  <si>
    <t>Variable Costs</t>
  </si>
  <si>
    <t>Capacity Utilisation</t>
  </si>
  <si>
    <t>Cost excluding prinitng</t>
  </si>
  <si>
    <t>Cost Per Capita</t>
  </si>
  <si>
    <t>Fixed and Variable Costs</t>
  </si>
  <si>
    <t>Additional Facilities Required</t>
  </si>
  <si>
    <t>Cost Projections for Increase in Coverage: RHC</t>
  </si>
  <si>
    <t>Variable Cost</t>
  </si>
  <si>
    <t xml:space="preserve">Fixed Cost </t>
  </si>
  <si>
    <t>Total Cost per Capita</t>
  </si>
  <si>
    <t>variable cost</t>
  </si>
  <si>
    <t>fixed cost</t>
  </si>
  <si>
    <t>40,000</t>
  </si>
  <si>
    <t>75,000</t>
  </si>
  <si>
    <t>125,000</t>
  </si>
  <si>
    <t>175,000</t>
  </si>
  <si>
    <t>200,000</t>
  </si>
  <si>
    <t>Sensitivity: +7.5%</t>
  </si>
  <si>
    <t>Sensitivity: -7.5%</t>
  </si>
  <si>
    <t>Increase Coverage from Baseline by:</t>
  </si>
  <si>
    <t>Change Salaries by:</t>
  </si>
  <si>
    <t>Change Operational cost by:</t>
  </si>
  <si>
    <t>Increase</t>
  </si>
  <si>
    <t>Decrease</t>
  </si>
  <si>
    <t>No Change</t>
  </si>
  <si>
    <t>Standard Estimates</t>
  </si>
  <si>
    <t>Scenario Projection</t>
  </si>
  <si>
    <t>Cost per capita: Scenario Projection</t>
  </si>
  <si>
    <t>Cost per capita: Standard Estimates</t>
  </si>
  <si>
    <t>Utilisation: Standard Estimates</t>
  </si>
  <si>
    <t>Utilisation: Scenario Projections</t>
  </si>
  <si>
    <t>Number of cases (excluding immunisation)</t>
  </si>
  <si>
    <t>Fully immunised children</t>
  </si>
  <si>
    <t>Running Cost</t>
  </si>
  <si>
    <t>Cost for treatment</t>
  </si>
  <si>
    <t>Cost for immunisation</t>
  </si>
  <si>
    <t>Cost per Delivery</t>
  </si>
  <si>
    <t>Cost per ANC package (4 visits)</t>
  </si>
  <si>
    <t>Cost per PNC package (2 visits)</t>
  </si>
  <si>
    <t>Cost per Newborn Care</t>
  </si>
  <si>
    <t>Cost per Child Pneumonia</t>
  </si>
  <si>
    <t>Cost per Child Wheeze</t>
  </si>
  <si>
    <t>Cost per Child Ear Infection</t>
  </si>
  <si>
    <t>Cost per Child Diarrhea</t>
  </si>
  <si>
    <t>Cost per Child Dysentry</t>
  </si>
  <si>
    <t>Cost per Child Fever</t>
  </si>
  <si>
    <t>Cost per Other treatments</t>
  </si>
  <si>
    <t>Developed by: Afeef Mahmood</t>
  </si>
  <si>
    <t>Funded Through: Technical Resource Facility</t>
  </si>
  <si>
    <t>Syringe, 5 ml, with needle</t>
  </si>
  <si>
    <t>Vitamin K. Injection 10mg per 1 ml</t>
  </si>
  <si>
    <t>X-Ray</t>
  </si>
  <si>
    <t>Useful Life</t>
  </si>
  <si>
    <t>Senior Clark</t>
  </si>
  <si>
    <t>Store keeper</t>
  </si>
  <si>
    <t>Ward servant</t>
  </si>
  <si>
    <t>Accountant</t>
  </si>
  <si>
    <t>OT assistant</t>
  </si>
  <si>
    <t>d</t>
  </si>
  <si>
    <t>per annum</t>
  </si>
  <si>
    <t>per month</t>
  </si>
  <si>
    <t>Under Reporting</t>
  </si>
  <si>
    <t>Number of Facilities</t>
  </si>
  <si>
    <t>source: Punjab development statistics, 2011</t>
  </si>
  <si>
    <t>Urban Population</t>
  </si>
  <si>
    <t>Rural Population</t>
  </si>
  <si>
    <t>Rural Populations</t>
  </si>
  <si>
    <t>Population above five</t>
  </si>
  <si>
    <t>Expected number of pregnancies</t>
  </si>
  <si>
    <t>Population above fifteen</t>
  </si>
  <si>
    <t>As per EHSP equipment list</t>
  </si>
  <si>
    <t>As per EHSP supply list</t>
  </si>
  <si>
    <t>Micronutrient Sachet</t>
  </si>
  <si>
    <t>1 sachet</t>
  </si>
  <si>
    <t>Current Population per BHU</t>
  </si>
  <si>
    <t>Cost Estimates for an average BHU</t>
  </si>
  <si>
    <t>Cost Estimates for an average BHU: Scenario Projections</t>
  </si>
  <si>
    <t>School Health and Nutrition Supervisor</t>
  </si>
  <si>
    <t>Naib Qasid</t>
  </si>
  <si>
    <t>Aya</t>
  </si>
  <si>
    <t>CMW</t>
  </si>
  <si>
    <t>Family Planning: IUCD</t>
  </si>
  <si>
    <t>IUCD</t>
  </si>
  <si>
    <t xml:space="preserve">Office table </t>
  </si>
  <si>
    <t xml:space="preserve">Office chair </t>
  </si>
  <si>
    <t xml:space="preserve">Client stool </t>
  </si>
  <si>
    <t>Delivery table</t>
  </si>
  <si>
    <t>Safety box with syringe cutting machine</t>
  </si>
  <si>
    <t>Baby ambubag</t>
  </si>
  <si>
    <t xml:space="preserve">Screen </t>
  </si>
  <si>
    <t>Fetoscope</t>
  </si>
  <si>
    <t xml:space="preserve">BP apparatus </t>
  </si>
  <si>
    <t>Stethoscope</t>
  </si>
  <si>
    <t>Baby weighing machine</t>
  </si>
  <si>
    <t>Weighing machine adult</t>
  </si>
  <si>
    <t>Delivery items (Forceps, Sponge Forceps, Kidney Tray, Steel Bowl, Speculum, Infusion with set, I/V Cannulae)</t>
  </si>
  <si>
    <t>Kit box steel</t>
  </si>
  <si>
    <t>Signboard</t>
  </si>
  <si>
    <t>Plastic apron</t>
  </si>
  <si>
    <t>Examination lamp</t>
  </si>
  <si>
    <t>Episiotomy scissors</t>
  </si>
  <si>
    <t>Antenatal Care</t>
  </si>
  <si>
    <t>Model for Costing Essential Package of Health Services:                      Community Midwife</t>
  </si>
  <si>
    <t>Department of Health, Government of Sindh</t>
  </si>
  <si>
    <t>Steriliser Electric (12x16)</t>
  </si>
  <si>
    <t>Vacuum extraction pump</t>
  </si>
  <si>
    <t>January,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</si>
</sst>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PKR]\ * #,##0_);_([$PKR]\ * \(#,##0\);_([$PKR]\ * &quot;-&quot;??_);_(@_)"/>
    <numFmt numFmtId="167" formatCode="0.0%"/>
    <numFmt numFmtId="168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55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7F7F7F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 vertical="center"/>
    </xf>
  </cellStyleXfs>
  <cellXfs count="243">
    <xf numFmtId="0" fontId="0" fillId="0" borderId="0" xfId="0"/>
    <xf numFmtId="0" fontId="0" fillId="0" borderId="0" xfId="0"/>
    <xf numFmtId="0" fontId="1" fillId="3" borderId="2" xfId="5" applyBorder="1" applyAlignment="1">
      <alignment horizontal="center" vertical="center"/>
    </xf>
    <xf numFmtId="0" fontId="2" fillId="5" borderId="2" xfId="7" applyFont="1" applyBorder="1"/>
    <xf numFmtId="43" fontId="1" fillId="3" borderId="2" xfId="1" applyFill="1" applyBorder="1"/>
    <xf numFmtId="43" fontId="2" fillId="5" borderId="2" xfId="1" applyFont="1" applyFill="1" applyBorder="1"/>
    <xf numFmtId="43" fontId="1" fillId="3" borderId="2" xfId="1" applyFill="1" applyBorder="1" applyAlignment="1">
      <alignment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2" xfId="4" applyFont="1" applyFill="1" applyBorder="1" applyAlignment="1">
      <alignment horizontal="center" vertical="center"/>
    </xf>
    <xf numFmtId="0" fontId="2" fillId="8" borderId="2" xfId="4" applyFont="1" applyFill="1" applyBorder="1" applyAlignment="1">
      <alignment horizontal="center" wrapText="1"/>
    </xf>
    <xf numFmtId="0" fontId="2" fillId="8" borderId="2" xfId="4" applyFont="1" applyFill="1" applyBorder="1" applyAlignment="1">
      <alignment horizontal="left" vertical="center" wrapText="1"/>
    </xf>
    <xf numFmtId="0" fontId="0" fillId="8" borderId="2" xfId="0" applyFill="1" applyBorder="1"/>
    <xf numFmtId="43" fontId="2" fillId="8" borderId="2" xfId="1" applyFont="1" applyFill="1" applyBorder="1" applyAlignment="1">
      <alignment horizontal="left" vertical="center" wrapText="1"/>
    </xf>
    <xf numFmtId="0" fontId="0" fillId="0" borderId="0" xfId="0"/>
    <xf numFmtId="164" fontId="1" fillId="3" borderId="2" xfId="1" applyNumberFormat="1" applyFill="1" applyBorder="1"/>
    <xf numFmtId="164" fontId="1" fillId="3" borderId="2" xfId="1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1" applyNumberFormat="1" applyFill="1" applyBorder="1" applyAlignment="1">
      <alignment vertical="center"/>
    </xf>
    <xf numFmtId="1" fontId="3" fillId="3" borderId="2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8" fillId="5" borderId="2" xfId="7" applyFont="1" applyBorder="1" applyAlignment="1">
      <alignment horizontal="center"/>
    </xf>
    <xf numFmtId="43" fontId="3" fillId="3" borderId="2" xfId="1" applyFont="1" applyFill="1" applyBorder="1"/>
    <xf numFmtId="164" fontId="0" fillId="3" borderId="2" xfId="1" applyNumberFormat="1" applyFont="1" applyFill="1" applyBorder="1" applyAlignment="1">
      <alignment vertical="center"/>
    </xf>
    <xf numFmtId="164" fontId="8" fillId="5" borderId="2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43" fontId="0" fillId="3" borderId="2" xfId="1" applyFont="1" applyFill="1" applyBorder="1"/>
    <xf numFmtId="0" fontId="1" fillId="11" borderId="2" xfId="6" applyFill="1" applyBorder="1"/>
    <xf numFmtId="164" fontId="1" fillId="11" borderId="2" xfId="1" applyNumberFormat="1" applyFill="1" applyBorder="1"/>
    <xf numFmtId="165" fontId="1" fillId="11" borderId="2" xfId="1" applyNumberFormat="1" applyFill="1" applyBorder="1"/>
    <xf numFmtId="164" fontId="2" fillId="8" borderId="2" xfId="0" applyNumberFormat="1" applyFont="1" applyFill="1" applyBorder="1"/>
    <xf numFmtId="43" fontId="0" fillId="0" borderId="0" xfId="0" applyNumberFormat="1"/>
    <xf numFmtId="164" fontId="0" fillId="11" borderId="2" xfId="1" applyNumberFormat="1" applyFont="1" applyFill="1" applyBorder="1"/>
    <xf numFmtId="0" fontId="2" fillId="8" borderId="4" xfId="4" applyFont="1" applyFill="1" applyBorder="1" applyAlignment="1">
      <alignment vertical="center"/>
    </xf>
    <xf numFmtId="9" fontId="1" fillId="11" borderId="2" xfId="3" applyFill="1" applyBorder="1"/>
    <xf numFmtId="9" fontId="0" fillId="11" borderId="2" xfId="3" applyFont="1" applyFill="1" applyBorder="1"/>
    <xf numFmtId="0" fontId="3" fillId="0" borderId="0" xfId="0" applyFont="1" applyAlignment="1">
      <alignment horizontal="center"/>
    </xf>
    <xf numFmtId="9" fontId="0" fillId="0" borderId="0" xfId="3" applyFont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0" fillId="11" borderId="2" xfId="6" applyFont="1" applyFill="1" applyBorder="1" applyProtection="1">
      <protection hidden="1"/>
    </xf>
    <xf numFmtId="165" fontId="11" fillId="11" borderId="2" xfId="1" applyNumberFormat="1" applyFont="1" applyFill="1" applyBorder="1" applyProtection="1">
      <protection hidden="1"/>
    </xf>
    <xf numFmtId="164" fontId="11" fillId="11" borderId="2" xfId="1" applyNumberFormat="1" applyFont="1" applyFill="1" applyBorder="1" applyProtection="1">
      <protection hidden="1"/>
    </xf>
    <xf numFmtId="164" fontId="10" fillId="11" borderId="2" xfId="1" applyNumberFormat="1" applyFont="1" applyFill="1" applyBorder="1" applyProtection="1">
      <protection hidden="1"/>
    </xf>
    <xf numFmtId="43" fontId="10" fillId="0" borderId="0" xfId="0" applyNumberFormat="1" applyFont="1" applyProtection="1">
      <protection hidden="1"/>
    </xf>
    <xf numFmtId="164" fontId="10" fillId="0" borderId="0" xfId="1" applyNumberFormat="1" applyFont="1" applyProtection="1">
      <protection hidden="1"/>
    </xf>
    <xf numFmtId="0" fontId="10" fillId="0" borderId="0" xfId="0" applyFont="1"/>
    <xf numFmtId="0" fontId="13" fillId="8" borderId="2" xfId="4" applyFont="1" applyFill="1" applyBorder="1" applyAlignment="1" applyProtection="1">
      <alignment horizontal="left" vertical="center" wrapText="1"/>
      <protection hidden="1"/>
    </xf>
    <xf numFmtId="164" fontId="13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11" borderId="2" xfId="6" applyFont="1" applyFill="1" applyBorder="1" applyAlignment="1" applyProtection="1">
      <alignment vertical="center"/>
      <protection hidden="1"/>
    </xf>
    <xf numFmtId="164" fontId="10" fillId="11" borderId="2" xfId="1" applyNumberFormat="1" applyFont="1" applyFill="1" applyBorder="1" applyAlignment="1" applyProtection="1">
      <alignment vertical="center"/>
      <protection hidden="1"/>
    </xf>
    <xf numFmtId="0" fontId="10" fillId="11" borderId="2" xfId="6" applyFont="1" applyFill="1" applyBorder="1" applyAlignment="1" applyProtection="1">
      <alignment wrapText="1"/>
      <protection hidden="1"/>
    </xf>
    <xf numFmtId="0" fontId="2" fillId="8" borderId="2" xfId="4" applyFont="1" applyFill="1" applyBorder="1" applyAlignment="1">
      <alignment horizontal="center" vertical="center" wrapText="1"/>
    </xf>
    <xf numFmtId="9" fontId="1" fillId="11" borderId="2" xfId="3" applyFill="1" applyBorder="1" applyAlignment="1" applyProtection="1">
      <alignment vertic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11" borderId="2" xfId="6" applyFill="1" applyBorder="1" applyProtection="1">
      <protection locked="0" hidden="1"/>
    </xf>
    <xf numFmtId="164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locked="0" hidden="1"/>
    </xf>
    <xf numFmtId="164" fontId="1" fillId="11" borderId="2" xfId="1" applyNumberFormat="1" applyFill="1" applyBorder="1" applyProtection="1">
      <protection hidden="1"/>
    </xf>
    <xf numFmtId="165" fontId="1" fillId="11" borderId="2" xfId="1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locked="0" hidden="1"/>
    </xf>
    <xf numFmtId="9" fontId="0" fillId="11" borderId="2" xfId="3" applyFont="1" applyFill="1" applyBorder="1" applyProtection="1">
      <protection locked="0" hidden="1"/>
    </xf>
    <xf numFmtId="0" fontId="1" fillId="11" borderId="2" xfId="6" applyFill="1" applyBorder="1" applyProtection="1">
      <protection hidden="1"/>
    </xf>
    <xf numFmtId="166" fontId="1" fillId="11" borderId="2" xfId="6" applyNumberFormat="1" applyFill="1" applyBorder="1" applyProtection="1">
      <protection hidden="1"/>
    </xf>
    <xf numFmtId="0" fontId="1" fillId="11" borderId="2" xfId="6" applyFill="1" applyBorder="1" applyAlignment="1" applyProtection="1">
      <alignment wrapText="1"/>
      <protection locked="0" hidden="1"/>
    </xf>
    <xf numFmtId="165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hidden="1"/>
    </xf>
    <xf numFmtId="164" fontId="1" fillId="11" borderId="2" xfId="1" applyNumberFormat="1" applyFill="1" applyBorder="1" applyAlignment="1" applyProtection="1">
      <alignment vertical="center"/>
      <protection locked="0" hidden="1"/>
    </xf>
    <xf numFmtId="165" fontId="1" fillId="11" borderId="2" xfId="1" applyNumberFormat="1" applyFill="1" applyBorder="1" applyAlignment="1" applyProtection="1">
      <alignment vertical="center"/>
      <protection locked="0" hidden="1"/>
    </xf>
    <xf numFmtId="9" fontId="1" fillId="11" borderId="2" xfId="3" applyFill="1" applyBorder="1" applyAlignment="1" applyProtection="1">
      <alignment vertical="center"/>
      <protection locked="0" hidden="1"/>
    </xf>
    <xf numFmtId="164" fontId="1" fillId="11" borderId="2" xfId="1" applyNumberFormat="1" applyFill="1" applyBorder="1" applyAlignment="1" applyProtection="1">
      <alignment vertical="center"/>
      <protection hidden="1"/>
    </xf>
    <xf numFmtId="165" fontId="1" fillId="11" borderId="2" xfId="1" applyNumberFormat="1" applyFill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6" fontId="1" fillId="11" borderId="2" xfId="2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hidden="1"/>
    </xf>
    <xf numFmtId="164" fontId="0" fillId="0" borderId="0" xfId="1" applyNumberFormat="1" applyFont="1" applyProtection="1">
      <protection hidden="1"/>
    </xf>
    <xf numFmtId="9" fontId="0" fillId="0" borderId="0" xfId="3" applyFont="1" applyProtection="1">
      <protection hidden="1"/>
    </xf>
    <xf numFmtId="43" fontId="0" fillId="0" borderId="0" xfId="0" applyNumberForma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43" fontId="1" fillId="11" borderId="2" xfId="1" applyNumberForma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horizontal="center" vertical="center"/>
      <protection hidden="1"/>
    </xf>
    <xf numFmtId="164" fontId="0" fillId="11" borderId="2" xfId="1" applyNumberFormat="1" applyFon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wrapText="1"/>
      <protection hidden="1"/>
    </xf>
    <xf numFmtId="164" fontId="0" fillId="11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43" fontId="1" fillId="11" borderId="2" xfId="1" applyNumberFormat="1" applyFill="1" applyBorder="1" applyProtection="1">
      <protection hidden="1"/>
    </xf>
    <xf numFmtId="164" fontId="2" fillId="10" borderId="0" xfId="1" applyNumberFormat="1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164" fontId="3" fillId="9" borderId="0" xfId="1" applyNumberFormat="1" applyFont="1" applyFill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7" borderId="0" xfId="0" applyFont="1" applyFill="1" applyProtection="1">
      <protection hidden="1"/>
    </xf>
    <xf numFmtId="164" fontId="0" fillId="6" borderId="0" xfId="1" applyNumberFormat="1" applyFont="1" applyFill="1" applyAlignment="1" applyProtection="1">
      <alignment horizontal="right"/>
      <protection hidden="1"/>
    </xf>
    <xf numFmtId="43" fontId="0" fillId="6" borderId="0" xfId="1" applyFont="1" applyFill="1" applyProtection="1">
      <protection hidden="1"/>
    </xf>
    <xf numFmtId="43" fontId="0" fillId="6" borderId="0" xfId="1" applyFont="1" applyFill="1" applyAlignment="1" applyProtection="1">
      <alignment horizontal="right"/>
      <protection hidden="1"/>
    </xf>
    <xf numFmtId="164" fontId="0" fillId="0" borderId="0" xfId="1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9" fontId="10" fillId="0" borderId="0" xfId="3" applyFont="1" applyProtection="1">
      <protection hidden="1"/>
    </xf>
    <xf numFmtId="164" fontId="4" fillId="0" borderId="0" xfId="1" applyNumberFormat="1" applyFont="1" applyProtection="1">
      <protection hidden="1"/>
    </xf>
    <xf numFmtId="43" fontId="10" fillId="0" borderId="0" xfId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64" fontId="10" fillId="0" borderId="0" xfId="0" applyNumberFormat="1" applyFont="1"/>
    <xf numFmtId="167" fontId="12" fillId="0" borderId="0" xfId="3" applyNumberFormat="1" applyFont="1" applyProtection="1">
      <protection hidden="1"/>
    </xf>
    <xf numFmtId="44" fontId="10" fillId="11" borderId="2" xfId="2" applyFont="1" applyFill="1" applyBorder="1" applyProtection="1">
      <protection hidden="1"/>
    </xf>
    <xf numFmtId="166" fontId="10" fillId="11" borderId="2" xfId="1" applyNumberFormat="1" applyFont="1" applyFill="1" applyBorder="1" applyProtection="1">
      <protection hidden="1"/>
    </xf>
    <xf numFmtId="43" fontId="0" fillId="0" borderId="0" xfId="1" quotePrefix="1" applyFont="1"/>
    <xf numFmtId="9" fontId="12" fillId="0" borderId="0" xfId="0" applyNumberFormat="1" applyFont="1" applyProtection="1">
      <protection hidden="1"/>
    </xf>
    <xf numFmtId="10" fontId="12" fillId="0" borderId="0" xfId="0" applyNumberFormat="1" applyFont="1" applyProtection="1">
      <protection hidden="1"/>
    </xf>
    <xf numFmtId="10" fontId="12" fillId="0" borderId="0" xfId="3" applyNumberFormat="1" applyFont="1" applyProtection="1">
      <protection hidden="1"/>
    </xf>
    <xf numFmtId="168" fontId="12" fillId="0" borderId="0" xfId="3" applyNumberFormat="1" applyFont="1" applyProtection="1">
      <protection hidden="1"/>
    </xf>
    <xf numFmtId="9" fontId="4" fillId="0" borderId="0" xfId="0" applyNumberFormat="1" applyFont="1" applyProtection="1">
      <protection hidden="1"/>
    </xf>
    <xf numFmtId="166" fontId="12" fillId="0" borderId="0" xfId="0" applyNumberFormat="1" applyFont="1" applyProtection="1">
      <protection hidden="1"/>
    </xf>
    <xf numFmtId="44" fontId="12" fillId="0" borderId="0" xfId="2" applyFont="1" applyProtection="1">
      <protection hidden="1"/>
    </xf>
    <xf numFmtId="0" fontId="13" fillId="12" borderId="2" xfId="4" applyFont="1" applyFill="1" applyBorder="1" applyAlignment="1" applyProtection="1">
      <alignment horizontal="left" vertical="center" wrapText="1"/>
      <protection hidden="1"/>
    </xf>
    <xf numFmtId="164" fontId="13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2" xfId="4" applyFont="1" applyFill="1" applyBorder="1" applyAlignment="1" applyProtection="1">
      <alignment horizontal="center" vertical="center" wrapText="1"/>
      <protection hidden="1"/>
    </xf>
    <xf numFmtId="164" fontId="13" fillId="12" borderId="2" xfId="1" applyNumberFormat="1" applyFont="1" applyFill="1" applyBorder="1" applyAlignment="1" applyProtection="1">
      <alignment horizontal="left" vertical="center" wrapText="1"/>
      <protection hidden="1"/>
    </xf>
    <xf numFmtId="0" fontId="0" fillId="11" borderId="2" xfId="6" applyFont="1" applyFill="1" applyBorder="1" applyProtection="1">
      <protection locked="0" hidden="1"/>
    </xf>
    <xf numFmtId="0" fontId="0" fillId="14" borderId="0" xfId="0" applyFill="1" applyAlignment="1" applyProtection="1">
      <alignment wrapText="1"/>
      <protection hidden="1"/>
    </xf>
    <xf numFmtId="164" fontId="14" fillId="13" borderId="2" xfId="1" applyNumberFormat="1" applyFont="1" applyFill="1" applyBorder="1" applyAlignment="1">
      <alignment vertical="center" wrapText="1"/>
    </xf>
    <xf numFmtId="9" fontId="2" fillId="12" borderId="2" xfId="3" applyFont="1" applyFill="1" applyBorder="1" applyAlignment="1" applyProtection="1">
      <alignment horizontal="center" vertical="center" wrapText="1"/>
      <protection hidden="1"/>
    </xf>
    <xf numFmtId="43" fontId="0" fillId="6" borderId="2" xfId="1" applyFont="1" applyFill="1" applyBorder="1" applyProtection="1">
      <protection locked="0"/>
    </xf>
    <xf numFmtId="164" fontId="1" fillId="6" borderId="2" xfId="1" applyNumberFormat="1" applyFill="1" applyBorder="1" applyProtection="1">
      <protection locked="0"/>
    </xf>
    <xf numFmtId="164" fontId="1" fillId="6" borderId="2" xfId="1" applyNumberFormat="1" applyFill="1" applyBorder="1" applyProtection="1">
      <protection hidden="1"/>
    </xf>
    <xf numFmtId="43" fontId="1" fillId="6" borderId="2" xfId="1" applyFill="1" applyBorder="1" applyProtection="1">
      <protection locked="0"/>
    </xf>
    <xf numFmtId="164" fontId="4" fillId="12" borderId="2" xfId="1" applyNumberFormat="1" applyFont="1" applyFill="1" applyBorder="1" applyProtection="1">
      <protection hidden="1"/>
    </xf>
    <xf numFmtId="164" fontId="4" fillId="12" borderId="2" xfId="0" applyNumberFormat="1" applyFont="1" applyFill="1" applyBorder="1" applyProtection="1">
      <protection hidden="1"/>
    </xf>
    <xf numFmtId="0" fontId="4" fillId="12" borderId="2" xfId="0" applyFont="1" applyFill="1" applyBorder="1" applyProtection="1">
      <protection hidden="1"/>
    </xf>
    <xf numFmtId="9" fontId="4" fillId="12" borderId="2" xfId="3" applyFont="1" applyFill="1" applyBorder="1" applyProtection="1">
      <protection hidden="1"/>
    </xf>
    <xf numFmtId="0" fontId="0" fillId="15" borderId="0" xfId="0" applyFill="1"/>
    <xf numFmtId="164" fontId="0" fillId="15" borderId="0" xfId="1" applyNumberFormat="1" applyFont="1" applyFill="1"/>
    <xf numFmtId="166" fontId="13" fillId="12" borderId="2" xfId="1" applyNumberFormat="1" applyFont="1" applyFill="1" applyBorder="1" applyAlignment="1" applyProtection="1">
      <alignment horizontal="left" vertical="center" wrapText="1"/>
      <protection hidden="1"/>
    </xf>
    <xf numFmtId="44" fontId="13" fillId="12" borderId="2" xfId="2" applyFont="1" applyFill="1" applyBorder="1" applyAlignment="1" applyProtection="1">
      <alignment horizontal="left" vertical="center" wrapText="1"/>
      <protection hidden="1"/>
    </xf>
    <xf numFmtId="9" fontId="13" fillId="12" borderId="2" xfId="3" applyFont="1" applyFill="1" applyBorder="1" applyAlignment="1" applyProtection="1">
      <alignment horizontal="right" vertical="center" wrapText="1"/>
      <protection hidden="1"/>
    </xf>
    <xf numFmtId="9" fontId="13" fillId="12" borderId="2" xfId="3" applyFont="1" applyFill="1" applyBorder="1" applyAlignment="1" applyProtection="1">
      <alignment horizontal="right" vertical="center" wrapText="1"/>
      <protection locked="0" hidden="1"/>
    </xf>
    <xf numFmtId="9" fontId="13" fillId="12" borderId="2" xfId="3" applyFont="1" applyFill="1" applyBorder="1" applyAlignment="1" applyProtection="1">
      <alignment horizontal="center" vertical="center" wrapText="1"/>
      <protection locked="0" hidden="1"/>
    </xf>
    <xf numFmtId="0" fontId="13" fillId="12" borderId="6" xfId="4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166" fontId="2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left" vertical="center" wrapText="1"/>
      <protection hidden="1"/>
    </xf>
    <xf numFmtId="164" fontId="2" fillId="12" borderId="2" xfId="0" applyNumberFormat="1" applyFont="1" applyFill="1" applyBorder="1" applyProtection="1">
      <protection hidden="1"/>
    </xf>
    <xf numFmtId="166" fontId="2" fillId="12" borderId="2" xfId="4" applyNumberFormat="1" applyFont="1" applyFill="1" applyBorder="1" applyAlignment="1" applyProtection="1">
      <alignment horizontal="left" vertical="center" wrapText="1"/>
      <protection hidden="1"/>
    </xf>
    <xf numFmtId="164" fontId="2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/>
    <xf numFmtId="9" fontId="13" fillId="12" borderId="2" xfId="3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0" fontId="0" fillId="12" borderId="2" xfId="0" applyFill="1" applyBorder="1" applyProtection="1">
      <protection hidden="1"/>
    </xf>
    <xf numFmtId="0" fontId="7" fillId="12" borderId="9" xfId="4" applyFont="1" applyFill="1" applyBorder="1" applyAlignment="1" applyProtection="1">
      <alignment horizontal="left" vertical="center" wrapText="1"/>
      <protection hidden="1"/>
    </xf>
    <xf numFmtId="43" fontId="2" fillId="12" borderId="2" xfId="1" applyFont="1" applyFill="1" applyBorder="1" applyAlignment="1" applyProtection="1">
      <alignment horizontal="left" vertical="center" wrapText="1"/>
      <protection hidden="1"/>
    </xf>
    <xf numFmtId="166" fontId="2" fillId="12" borderId="2" xfId="1" applyNumberFormat="1" applyFont="1" applyFill="1" applyBorder="1" applyAlignment="1" applyProtection="1">
      <alignment horizontal="left" vertical="center" wrapText="1"/>
      <protection hidden="1"/>
    </xf>
    <xf numFmtId="9" fontId="2" fillId="12" borderId="2" xfId="3" applyFont="1" applyFill="1" applyBorder="1" applyAlignment="1">
      <alignment horizontal="center" vertical="center" wrapText="1"/>
    </xf>
    <xf numFmtId="0" fontId="2" fillId="12" borderId="2" xfId="4" applyFont="1" applyFill="1" applyBorder="1" applyAlignment="1">
      <alignment horizontal="center" vertical="center" wrapText="1"/>
    </xf>
    <xf numFmtId="0" fontId="2" fillId="12" borderId="2" xfId="4" applyFont="1" applyFill="1" applyBorder="1" applyAlignment="1" applyProtection="1">
      <alignment horizontal="center" vertical="center" wrapText="1"/>
      <protection locked="0" hidden="1"/>
    </xf>
    <xf numFmtId="166" fontId="2" fillId="12" borderId="2" xfId="2" applyNumberFormat="1" applyFont="1" applyFill="1" applyBorder="1" applyProtection="1">
      <protection hidden="1"/>
    </xf>
    <xf numFmtId="0" fontId="2" fillId="12" borderId="4" xfId="4" applyFont="1" applyFill="1" applyBorder="1" applyAlignment="1" applyProtection="1">
      <alignment horizontal="center" vertical="center" wrapText="1"/>
      <protection hidden="1"/>
    </xf>
    <xf numFmtId="0" fontId="2" fillId="12" borderId="3" xfId="4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locked="0" hidden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0" xfId="0" applyFont="1" applyFill="1"/>
    <xf numFmtId="164" fontId="2" fillId="12" borderId="0" xfId="0" applyNumberFormat="1" applyFont="1" applyFill="1"/>
    <xf numFmtId="0" fontId="2" fillId="12" borderId="0" xfId="0" applyFont="1" applyFill="1" applyAlignment="1">
      <alignment horizontal="right"/>
    </xf>
    <xf numFmtId="0" fontId="15" fillId="12" borderId="0" xfId="4" applyFont="1" applyFill="1" applyAlignment="1">
      <alignment horizontal="center" vertical="center" wrapText="1"/>
    </xf>
    <xf numFmtId="0" fontId="13" fillId="12" borderId="0" xfId="4" applyFont="1" applyFill="1" applyAlignment="1">
      <alignment horizontal="right"/>
    </xf>
    <xf numFmtId="164" fontId="13" fillId="12" borderId="4" xfId="1" applyNumberFormat="1" applyFont="1" applyFill="1" applyBorder="1" applyAlignment="1" applyProtection="1">
      <alignment horizontal="center" vertical="center" wrapText="1"/>
      <protection hidden="1"/>
    </xf>
    <xf numFmtId="164" fontId="13" fillId="12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4" xfId="4" applyFont="1" applyFill="1" applyBorder="1" applyAlignment="1" applyProtection="1">
      <alignment horizontal="left" vertical="center" wrapText="1"/>
      <protection hidden="1"/>
    </xf>
    <xf numFmtId="0" fontId="13" fillId="12" borderId="3" xfId="4" applyFont="1" applyFill="1" applyBorder="1" applyAlignment="1" applyProtection="1">
      <alignment horizontal="left" vertical="center" wrapText="1"/>
      <protection hidden="1"/>
    </xf>
    <xf numFmtId="0" fontId="13" fillId="12" borderId="5" xfId="4" applyFont="1" applyFill="1" applyBorder="1" applyAlignment="1" applyProtection="1">
      <alignment horizontal="center" vertical="center" wrapText="1"/>
      <protection hidden="1"/>
    </xf>
    <xf numFmtId="0" fontId="13" fillId="12" borderId="13" xfId="4" applyFont="1" applyFill="1" applyBorder="1" applyAlignment="1" applyProtection="1">
      <alignment horizontal="center" vertical="center" wrapText="1"/>
      <protection hidden="1"/>
    </xf>
    <xf numFmtId="0" fontId="13" fillId="12" borderId="5" xfId="4" applyFont="1" applyFill="1" applyBorder="1" applyAlignment="1" applyProtection="1">
      <alignment horizontal="left" vertical="center" wrapText="1"/>
      <protection hidden="1"/>
    </xf>
    <xf numFmtId="0" fontId="13" fillId="12" borderId="13" xfId="4" applyFont="1" applyFill="1" applyBorder="1" applyAlignment="1" applyProtection="1">
      <alignment horizontal="left" vertical="center" wrapText="1"/>
      <protection hidden="1"/>
    </xf>
    <xf numFmtId="0" fontId="13" fillId="12" borderId="6" xfId="4" applyFont="1" applyFill="1" applyBorder="1" applyAlignment="1" applyProtection="1">
      <alignment horizontal="left" vertical="center" wrapText="1"/>
      <protection hidden="1"/>
    </xf>
    <xf numFmtId="9" fontId="13" fillId="12" borderId="5" xfId="3" applyFont="1" applyFill="1" applyBorder="1" applyAlignment="1" applyProtection="1">
      <alignment horizontal="left" vertical="center" wrapText="1"/>
      <protection hidden="1"/>
    </xf>
    <xf numFmtId="9" fontId="13" fillId="12" borderId="6" xfId="3" applyFont="1" applyFill="1" applyBorder="1" applyAlignment="1" applyProtection="1">
      <alignment horizontal="left" vertical="center" wrapText="1"/>
      <protection hidden="1"/>
    </xf>
    <xf numFmtId="0" fontId="13" fillId="12" borderId="0" xfId="4" applyFont="1" applyFill="1" applyBorder="1" applyAlignment="1" applyProtection="1">
      <alignment horizontal="left" vertical="center" wrapText="1"/>
      <protection hidden="1"/>
    </xf>
    <xf numFmtId="0" fontId="13" fillId="12" borderId="9" xfId="4" applyFont="1" applyFill="1" applyBorder="1" applyAlignment="1" applyProtection="1">
      <alignment horizontal="left" vertical="center" wrapText="1"/>
      <protection hidden="1"/>
    </xf>
    <xf numFmtId="0" fontId="13" fillId="12" borderId="6" xfId="4" applyFont="1" applyFill="1" applyBorder="1" applyAlignment="1" applyProtection="1">
      <alignment horizontal="center" vertical="center" wrapText="1"/>
      <protection hidden="1"/>
    </xf>
    <xf numFmtId="0" fontId="13" fillId="12" borderId="2" xfId="4" applyFont="1" applyFill="1" applyBorder="1" applyAlignment="1" applyProtection="1">
      <alignment horizontal="center" vertical="center" wrapText="1"/>
      <protection hidden="1"/>
    </xf>
    <xf numFmtId="43" fontId="10" fillId="11" borderId="0" xfId="1" applyFont="1" applyFill="1" applyBorder="1" applyAlignment="1" applyProtection="1">
      <alignment horizontal="right"/>
      <protection hidden="1"/>
    </xf>
    <xf numFmtId="43" fontId="10" fillId="11" borderId="12" xfId="1" applyFont="1" applyFill="1" applyBorder="1" applyAlignment="1" applyProtection="1">
      <alignment horizontal="right"/>
      <protection hidden="1"/>
    </xf>
    <xf numFmtId="0" fontId="7" fillId="12" borderId="9" xfId="4" applyFont="1" applyFill="1" applyBorder="1" applyAlignment="1" applyProtection="1">
      <alignment horizontal="center"/>
      <protection hidden="1"/>
    </xf>
    <xf numFmtId="43" fontId="2" fillId="12" borderId="4" xfId="1" applyFont="1" applyFill="1" applyBorder="1" applyAlignment="1" applyProtection="1">
      <alignment horizontal="left" vertical="center" wrapText="1"/>
      <protection hidden="1"/>
    </xf>
    <xf numFmtId="43" fontId="2" fillId="12" borderId="3" xfId="1" applyFont="1" applyFill="1" applyBorder="1" applyAlignment="1" applyProtection="1">
      <alignment horizontal="left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0" fontId="7" fillId="8" borderId="9" xfId="4" applyFont="1" applyFill="1" applyBorder="1" applyAlignment="1">
      <alignment horizontal="center"/>
    </xf>
    <xf numFmtId="43" fontId="2" fillId="8" borderId="4" xfId="1" applyFont="1" applyFill="1" applyBorder="1" applyAlignment="1">
      <alignment horizontal="left" vertical="center" wrapText="1"/>
    </xf>
    <xf numFmtId="43" fontId="2" fillId="8" borderId="3" xfId="1" applyFont="1" applyFill="1" applyBorder="1" applyAlignment="1">
      <alignment horizontal="left" vertical="center"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4" xfId="4" applyFont="1" applyFill="1" applyBorder="1" applyAlignment="1">
      <alignment horizontal="center" vertical="center" wrapText="1"/>
    </xf>
    <xf numFmtId="0" fontId="2" fillId="8" borderId="3" xfId="4" applyFont="1" applyFill="1" applyBorder="1" applyAlignment="1">
      <alignment horizontal="center" vertical="center" wrapText="1"/>
    </xf>
    <xf numFmtId="0" fontId="2" fillId="8" borderId="5" xfId="4" applyFont="1" applyFill="1" applyBorder="1" applyAlignment="1">
      <alignment horizontal="center" vertical="center" wrapText="1"/>
    </xf>
    <xf numFmtId="0" fontId="2" fillId="8" borderId="6" xfId="4" applyFont="1" applyFill="1" applyBorder="1" applyAlignment="1">
      <alignment horizontal="center" vertical="center" wrapText="1"/>
    </xf>
    <xf numFmtId="43" fontId="2" fillId="12" borderId="4" xfId="1" applyFont="1" applyFill="1" applyBorder="1" applyAlignment="1" applyProtection="1">
      <alignment horizontal="left" vertical="center" wrapText="1"/>
      <protection locked="0" hidden="1"/>
    </xf>
    <xf numFmtId="43" fontId="2" fillId="12" borderId="3" xfId="1" applyFont="1" applyFill="1" applyBorder="1" applyAlignment="1" applyProtection="1">
      <alignment horizontal="left" vertical="center" wrapText="1"/>
      <protection locked="0" hidden="1"/>
    </xf>
    <xf numFmtId="0" fontId="2" fillId="12" borderId="2" xfId="4" applyFont="1" applyFill="1" applyBorder="1" applyAlignment="1" applyProtection="1">
      <alignment horizontal="center" vertical="center" wrapText="1"/>
      <protection locked="0" hidden="1"/>
    </xf>
    <xf numFmtId="0" fontId="2" fillId="12" borderId="4" xfId="4" applyFont="1" applyFill="1" applyBorder="1" applyAlignment="1" applyProtection="1">
      <alignment horizontal="center" vertical="center" wrapText="1"/>
      <protection locked="0" hidden="1"/>
    </xf>
    <xf numFmtId="0" fontId="2" fillId="12" borderId="3" xfId="4" applyFont="1" applyFill="1" applyBorder="1" applyAlignment="1" applyProtection="1">
      <alignment horizontal="center" vertical="center" wrapText="1"/>
      <protection locked="0" hidden="1"/>
    </xf>
    <xf numFmtId="0" fontId="2" fillId="12" borderId="5" xfId="4" applyFont="1" applyFill="1" applyBorder="1" applyAlignment="1" applyProtection="1">
      <alignment horizontal="center" vertical="center" wrapText="1"/>
      <protection hidden="1"/>
    </xf>
    <xf numFmtId="0" fontId="2" fillId="12" borderId="6" xfId="4" applyFont="1" applyFill="1" applyBorder="1" applyAlignment="1" applyProtection="1">
      <alignment horizontal="center" vertical="center" wrapText="1"/>
      <protection hidden="1"/>
    </xf>
    <xf numFmtId="0" fontId="7" fillId="8" borderId="9" xfId="4" applyFont="1" applyFill="1" applyBorder="1" applyAlignment="1" applyProtection="1">
      <alignment horizontal="center"/>
      <protection hidden="1"/>
    </xf>
    <xf numFmtId="0" fontId="2" fillId="12" borderId="2" xfId="4" applyFont="1" applyFill="1" applyBorder="1" applyAlignment="1" applyProtection="1">
      <alignment horizontal="center" vertical="center"/>
      <protection hidden="1"/>
    </xf>
    <xf numFmtId="0" fontId="2" fillId="12" borderId="10" xfId="4" applyFont="1" applyFill="1" applyBorder="1" applyAlignment="1" applyProtection="1">
      <alignment horizontal="center"/>
      <protection hidden="1"/>
    </xf>
    <xf numFmtId="0" fontId="2" fillId="12" borderId="11" xfId="4" applyFont="1" applyFill="1" applyBorder="1" applyAlignment="1" applyProtection="1">
      <alignment horizontal="center"/>
      <protection hidden="1"/>
    </xf>
    <xf numFmtId="0" fontId="2" fillId="12" borderId="9" xfId="4" applyFont="1" applyFill="1" applyBorder="1" applyAlignment="1" applyProtection="1">
      <alignment horizontal="center"/>
      <protection hidden="1"/>
    </xf>
    <xf numFmtId="0" fontId="2" fillId="8" borderId="2" xfId="4" applyFont="1" applyFill="1" applyBorder="1" applyAlignment="1">
      <alignment horizontal="center"/>
    </xf>
    <xf numFmtId="0" fontId="2" fillId="8" borderId="2" xfId="4" applyFont="1" applyFill="1" applyBorder="1" applyAlignment="1">
      <alignment horizontal="center" vertical="center"/>
    </xf>
    <xf numFmtId="0" fontId="2" fillId="8" borderId="9" xfId="4" applyFont="1" applyFill="1" applyBorder="1" applyAlignment="1">
      <alignment horizontal="center"/>
    </xf>
    <xf numFmtId="0" fontId="2" fillId="8" borderId="8" xfId="4" applyFont="1" applyFill="1" applyBorder="1" applyAlignment="1">
      <alignment horizontal="center"/>
    </xf>
    <xf numFmtId="0" fontId="2" fillId="12" borderId="13" xfId="4" applyFont="1" applyFill="1" applyBorder="1" applyAlignment="1" applyProtection="1">
      <alignment horizontal="center" vertical="center" wrapText="1"/>
      <protection hidden="1"/>
    </xf>
    <xf numFmtId="43" fontId="2" fillId="12" borderId="5" xfId="1" applyFont="1" applyFill="1" applyBorder="1" applyAlignment="1" applyProtection="1">
      <alignment horizontal="left" vertical="center" wrapText="1"/>
      <protection hidden="1"/>
    </xf>
    <xf numFmtId="43" fontId="2" fillId="12" borderId="13" xfId="1" applyFont="1" applyFill="1" applyBorder="1" applyAlignment="1" applyProtection="1">
      <alignment horizontal="left" vertical="center" wrapText="1"/>
      <protection hidden="1"/>
    </xf>
    <xf numFmtId="43" fontId="2" fillId="12" borderId="14" xfId="1" applyFont="1" applyFill="1" applyBorder="1" applyAlignment="1" applyProtection="1">
      <alignment horizontal="left" vertical="center" wrapText="1"/>
      <protection hidden="1"/>
    </xf>
    <xf numFmtId="0" fontId="2" fillId="12" borderId="4" xfId="4" applyFont="1" applyFill="1" applyBorder="1" applyAlignment="1" applyProtection="1">
      <alignment horizontal="left" vertical="center" wrapText="1"/>
      <protection hidden="1"/>
    </xf>
    <xf numFmtId="0" fontId="2" fillId="12" borderId="7" xfId="4" applyFont="1" applyFill="1" applyBorder="1" applyAlignment="1" applyProtection="1">
      <alignment horizontal="left" vertical="center" wrapText="1"/>
      <protection hidden="1"/>
    </xf>
    <xf numFmtId="0" fontId="2" fillId="12" borderId="3" xfId="4" applyFont="1" applyFill="1" applyBorder="1" applyAlignment="1" applyProtection="1">
      <alignment horizontal="left" vertical="center" wrapText="1"/>
      <protection hidden="1"/>
    </xf>
    <xf numFmtId="0" fontId="2" fillId="12" borderId="4" xfId="4" applyFont="1" applyFill="1" applyBorder="1" applyAlignment="1" applyProtection="1">
      <alignment horizontal="center" vertical="center" wrapText="1"/>
      <protection hidden="1"/>
    </xf>
    <xf numFmtId="0" fontId="2" fillId="12" borderId="3" xfId="4" applyFont="1" applyFill="1" applyBorder="1" applyAlignment="1" applyProtection="1">
      <alignment horizontal="center" vertical="center" wrapText="1"/>
      <protection hidden="1"/>
    </xf>
    <xf numFmtId="0" fontId="2" fillId="12" borderId="5" xfId="4" applyFont="1" applyFill="1" applyBorder="1" applyAlignment="1" applyProtection="1">
      <alignment horizontal="left" vertical="center" wrapText="1"/>
      <protection hidden="1"/>
    </xf>
    <xf numFmtId="0" fontId="2" fillId="12" borderId="13" xfId="4" applyFont="1" applyFill="1" applyBorder="1" applyAlignment="1" applyProtection="1">
      <alignment horizontal="left" vertical="center" wrapText="1"/>
      <protection hidden="1"/>
    </xf>
    <xf numFmtId="0" fontId="2" fillId="12" borderId="14" xfId="4" applyFont="1" applyFill="1" applyBorder="1" applyAlignment="1" applyProtection="1">
      <alignment horizontal="left" vertical="center" wrapText="1"/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43" fontId="2" fillId="12" borderId="2" xfId="1" applyFont="1" applyFill="1" applyBorder="1" applyAlignment="1" applyProtection="1">
      <alignment horizontal="right"/>
      <protection hidden="1"/>
    </xf>
    <xf numFmtId="43" fontId="2" fillId="8" borderId="4" xfId="1" applyFont="1" applyFill="1" applyBorder="1" applyAlignment="1" applyProtection="1">
      <alignment horizontal="left" vertical="center" wrapText="1"/>
      <protection hidden="1"/>
    </xf>
    <xf numFmtId="43" fontId="2" fillId="8" borderId="3" xfId="1" applyFont="1" applyFill="1" applyBorder="1" applyAlignment="1" applyProtection="1">
      <alignment horizontal="left" vertical="center" wrapText="1"/>
      <protection hidden="1"/>
    </xf>
    <xf numFmtId="9" fontId="2" fillId="12" borderId="2" xfId="3" applyFont="1" applyFill="1" applyBorder="1" applyAlignment="1" applyProtection="1">
      <alignment horizontal="center" vertical="center" wrapText="1"/>
      <protection hidden="1"/>
    </xf>
    <xf numFmtId="0" fontId="2" fillId="12" borderId="0" xfId="4" applyFont="1" applyFill="1" applyBorder="1" applyAlignment="1">
      <alignment horizontal="center" vertical="center" wrapText="1"/>
    </xf>
    <xf numFmtId="0" fontId="2" fillId="12" borderId="5" xfId="4" applyFont="1" applyFill="1" applyBorder="1" applyAlignment="1">
      <alignment horizontal="center" vertical="center" wrapText="1"/>
    </xf>
    <xf numFmtId="0" fontId="2" fillId="12" borderId="6" xfId="4" applyFont="1" applyFill="1" applyBorder="1" applyAlignment="1">
      <alignment horizontal="center" vertical="center" wrapText="1"/>
    </xf>
    <xf numFmtId="0" fontId="2" fillId="12" borderId="4" xfId="4" applyFont="1" applyFill="1" applyBorder="1" applyAlignment="1">
      <alignment horizontal="center" vertical="center" wrapText="1"/>
    </xf>
    <xf numFmtId="0" fontId="2" fillId="12" borderId="3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90"/>
    </xf>
    <xf numFmtId="0" fontId="2" fillId="12" borderId="2" xfId="0" applyFont="1" applyFill="1" applyBorder="1" applyAlignment="1">
      <alignment horizontal="center" vertical="center" wrapText="1"/>
    </xf>
  </cellXfs>
  <cellStyles count="9">
    <cellStyle name="20% - Accent1" xfId="5" builtinId="30"/>
    <cellStyle name="40% - Accent1" xfId="6" builtinId="31"/>
    <cellStyle name="60% - Accent1" xfId="7" builtinId="32"/>
    <cellStyle name="Accent1" xfId="4" builtinId="29"/>
    <cellStyle name="Comma" xfId="1" builtinId="3"/>
    <cellStyle name="Currency" xfId="2" builtinId="4"/>
    <cellStyle name="Normal" xfId="0" builtinId="0"/>
    <cellStyle name="Normal 2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BHU_Cost!$O$54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BHU_Cost!$J$54:$N$54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BHU_Cost!$O$55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BHU_Cost!$J$55:$N$55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8541144"/>
        <c:axId val="318541536"/>
      </c:barChart>
      <c:lineChart>
        <c:grouping val="standard"/>
        <c:varyColors val="0"/>
        <c:ser>
          <c:idx val="2"/>
          <c:order val="2"/>
          <c:tx>
            <c:strRef>
              <c:f>BHU_Cost!$O$56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BHU_Cost!$J$56:$N$56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BHU_Cost!$O$57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BHU_Cost!$J$57:$N$57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8534480"/>
        <c:axId val="318541928"/>
      </c:lineChart>
      <c:catAx>
        <c:axId val="318541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41536"/>
        <c:crosses val="autoZero"/>
        <c:auto val="1"/>
        <c:lblAlgn val="ctr"/>
        <c:lblOffset val="100"/>
        <c:noMultiLvlLbl val="0"/>
      </c:catAx>
      <c:valAx>
        <c:axId val="318541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41144"/>
        <c:crosses val="autoZero"/>
        <c:crossBetween val="between"/>
      </c:valAx>
      <c:valAx>
        <c:axId val="3185419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34480"/>
        <c:crosses val="max"/>
        <c:crossBetween val="between"/>
      </c:valAx>
      <c:catAx>
        <c:axId val="318534480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31854192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Total Cost (PKR)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Sheet2!$D$3:$H$3</c:f>
              <c:strCache>
                <c:ptCount val="5"/>
                <c:pt idx="0">
                  <c:v>40,000</c:v>
                </c:pt>
                <c:pt idx="1">
                  <c:v>75,000</c:v>
                </c:pt>
                <c:pt idx="2">
                  <c:v>125,000</c:v>
                </c:pt>
                <c:pt idx="3">
                  <c:v>175,000</c:v>
                </c:pt>
                <c:pt idx="4">
                  <c:v>200,000</c:v>
                </c:pt>
              </c:strCache>
            </c:strRef>
          </c:cat>
          <c:val>
            <c:numRef>
              <c:f>Sheet2!$D$4:$H$4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8539968"/>
        <c:axId val="318538008"/>
      </c:lineChart>
      <c:catAx>
        <c:axId val="3185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/>
                  <a:t>Catchment Population</a:t>
                </a:r>
              </a:p>
            </c:rich>
          </c:tx>
          <c:layout>
            <c:manualLayout>
              <c:xMode val="edge"/>
              <c:yMode val="edge"/>
              <c:x val="0.43448495676922944"/>
              <c:y val="0.8746985872049012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38008"/>
        <c:crosses val="autoZero"/>
        <c:auto val="1"/>
        <c:lblAlgn val="ctr"/>
        <c:lblOffset val="100"/>
        <c:noMultiLvlLbl val="0"/>
      </c:catAx>
      <c:valAx>
        <c:axId val="31853800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318539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90683697871099"/>
          <c:y val="0.18120243813963768"/>
          <c:w val="0.24093158660844249"/>
          <c:h val="9.9481020371128714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BHU_Cost!$O$54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BHU_Cost!$J$54:$N$54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BHU_Cost!$O$55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BHU_Cost!$J$55:$N$55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18534872"/>
        <c:axId val="318540752"/>
      </c:barChart>
      <c:lineChart>
        <c:grouping val="standard"/>
        <c:varyColors val="0"/>
        <c:ser>
          <c:idx val="2"/>
          <c:order val="2"/>
          <c:tx>
            <c:strRef>
              <c:f>BHU_Cost!$O$56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BHU_Cost!$J$56:$N$56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BHU_Cost!$O$57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BHU_Cost!$J$57:$N$57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8535656"/>
        <c:axId val="318535264"/>
      </c:lineChart>
      <c:catAx>
        <c:axId val="31853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40752"/>
        <c:crosses val="autoZero"/>
        <c:auto val="1"/>
        <c:lblAlgn val="ctr"/>
        <c:lblOffset val="100"/>
        <c:noMultiLvlLbl val="0"/>
      </c:catAx>
      <c:valAx>
        <c:axId val="318540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34872"/>
        <c:crosses val="autoZero"/>
        <c:crossBetween val="between"/>
      </c:valAx>
      <c:valAx>
        <c:axId val="3185352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318535656"/>
        <c:crosses val="max"/>
        <c:crossBetween val="between"/>
      </c:valAx>
      <c:catAx>
        <c:axId val="31853565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31853526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323849</xdr:colOff>
      <xdr:row>39</xdr:row>
      <xdr:rowOff>104775</xdr:rowOff>
    </xdr:from>
    <xdr:to>
      <xdr:col>22</xdr:col>
      <xdr:colOff>428624</xdr:colOff>
      <xdr:row>59</xdr:row>
      <xdr:rowOff>200024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18</xdr:row>
      <xdr:rowOff>95250</xdr:rowOff>
    </xdr:from>
    <xdr:to>
      <xdr:col>28</xdr:col>
      <xdr:colOff>238125</xdr:colOff>
      <xdr:row>37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161925</xdr:rowOff>
    </xdr:from>
    <xdr:to>
      <xdr:col>16</xdr:col>
      <xdr:colOff>352424</xdr:colOff>
      <xdr:row>38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eef%20Mahmood/Documents/My%20Docs/Projects/DFID/Technical%20Resource%20Facility/Costing%20Essential%20Health%20Package%20(Sindh)/Costing/Draft%201_Locked%20versions%20-%20Copy/2.%20EPHS_Punjab_Costing_BHU_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BHU_Cost"/>
      <sheetName val="Summary_Intervention"/>
      <sheetName val="Pricing"/>
      <sheetName val="Pricing_2"/>
      <sheetName val="Financing"/>
      <sheetName val="Sheet2"/>
      <sheetName val="Operating_Exp"/>
      <sheetName val="1.ANC"/>
      <sheetName val="2.Delivery"/>
      <sheetName val="Delivery_Assisted"/>
      <sheetName val="3.Post_partum"/>
      <sheetName val="4.Newborn_care"/>
      <sheetName val="5.Child_pneumonia"/>
      <sheetName val="6.Child_Wheeze"/>
      <sheetName val="7.Child_ear"/>
      <sheetName val="8.Child_diarh_nodehy"/>
      <sheetName val="9.Child_diarh_some_dehyd"/>
      <sheetName val="10.Child_Dys"/>
      <sheetName val="11.Immunisation"/>
      <sheetName val="11.Child_Fever"/>
      <sheetName val="12.FP_condoms"/>
      <sheetName val="13.FP_Oral"/>
      <sheetName val="14.FP_Inject"/>
      <sheetName val="15.FP_IUD"/>
      <sheetName val="16.ECM_Cold"/>
      <sheetName val="17.ECM_Brn"/>
      <sheetName val="18.ECM_Pneu"/>
      <sheetName val="19.ECM_GI"/>
      <sheetName val="20.ECM_TB_Diag"/>
      <sheetName val="21.ECM_TB_treat"/>
      <sheetName val="22.ECM_Malaria"/>
      <sheetName val="23.ECM_Typhoid"/>
      <sheetName val="24.ECM_STIs"/>
      <sheetName val="25.ECM_Trachoma"/>
      <sheetName val="26.ECM_UTI"/>
      <sheetName val="27.Nut_VitA"/>
      <sheetName val="28.Nut_MMS"/>
      <sheetName val="HR_Intervention"/>
      <sheetName val="Standard_temp"/>
      <sheetName val="HR_time"/>
      <sheetName val="Salary_cost_intervention"/>
      <sheetName val="Drugs_list"/>
      <sheetName val="Supplies_list"/>
      <sheetName val="Lab_tests"/>
      <sheetName val="Staff_cost"/>
      <sheetName val="Pay_scale"/>
      <sheetName val="Sheet1"/>
      <sheetName val="Basic_demo"/>
      <sheetName val="Equipment"/>
      <sheetName val="Capacity"/>
    </sheetNames>
    <sheetDataSet>
      <sheetData sheetId="0"/>
      <sheetData sheetId="1">
        <row r="33">
          <cell r="E33">
            <v>0.05</v>
          </cell>
          <cell r="F33">
            <v>-5.0000000000000001E-3</v>
          </cell>
        </row>
      </sheetData>
      <sheetData sheetId="2">
        <row r="1">
          <cell r="M1">
            <v>95</v>
          </cell>
        </row>
      </sheetData>
      <sheetData sheetId="3"/>
      <sheetData sheetId="4"/>
      <sheetData sheetId="5"/>
      <sheetData sheetId="6"/>
      <sheetData sheetId="7"/>
      <sheetData sheetId="8">
        <row r="16">
          <cell r="H16">
            <v>436.39200000000005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C9" t="str">
            <v>Acetaminophin (paracetamol)Suppository 250 mg</v>
          </cell>
        </row>
        <row r="10">
          <cell r="C10" t="str">
            <v>Acetaminophin (paracetamol)Syrup, 250 mg /5 ml</v>
          </cell>
          <cell r="D10">
            <v>60</v>
          </cell>
          <cell r="E10" t="str">
            <v>ml</v>
          </cell>
          <cell r="F10">
            <v>9</v>
          </cell>
          <cell r="G10">
            <v>0.75</v>
          </cell>
          <cell r="H10" t="str">
            <v>ml</v>
          </cell>
          <cell r="I10">
            <v>0.87</v>
          </cell>
          <cell r="J10">
            <v>5</v>
          </cell>
          <cell r="K10" t="str">
            <v>5ml</v>
          </cell>
        </row>
        <row r="11">
          <cell r="C11" t="str">
            <v>Acetaminophin (paracetamol)Tablet,500 mg Strip/blister</v>
          </cell>
          <cell r="D11">
            <v>10</v>
          </cell>
          <cell r="E11" t="str">
            <v>tab</v>
          </cell>
          <cell r="F11">
            <v>3.9000000000000004</v>
          </cell>
          <cell r="G11">
            <v>0.45</v>
          </cell>
          <cell r="H11" t="str">
            <v>tab</v>
          </cell>
          <cell r="I11">
            <v>0.52200000000000002</v>
          </cell>
          <cell r="J11">
            <v>1</v>
          </cell>
          <cell r="K11" t="str">
            <v>1tab</v>
          </cell>
        </row>
        <row r="12">
          <cell r="C12" t="str">
            <v>Acetyl salicylic acid (aspirin)Tablet 500mg</v>
          </cell>
          <cell r="D12">
            <v>600</v>
          </cell>
          <cell r="E12" t="str">
            <v>tab</v>
          </cell>
          <cell r="F12">
            <v>300</v>
          </cell>
          <cell r="G12">
            <v>0.5</v>
          </cell>
          <cell r="H12" t="str">
            <v>tab</v>
          </cell>
          <cell r="I12">
            <v>0.57999999999999996</v>
          </cell>
          <cell r="J12">
            <v>1</v>
          </cell>
          <cell r="K12" t="str">
            <v>1tab</v>
          </cell>
        </row>
        <row r="13">
          <cell r="C13" t="str">
            <v>Activated charcoal powderPowder</v>
          </cell>
          <cell r="I13">
            <v>0</v>
          </cell>
          <cell r="K13" t="str">
            <v/>
          </cell>
        </row>
        <row r="14">
          <cell r="C14" t="str">
            <v xml:space="preserve">AdrenalineInj. </v>
          </cell>
          <cell r="E14" t="str">
            <v>ml</v>
          </cell>
          <cell r="G14">
            <v>13</v>
          </cell>
          <cell r="H14" t="str">
            <v>ml</v>
          </cell>
          <cell r="I14">
            <v>15.08</v>
          </cell>
          <cell r="J14">
            <v>1</v>
          </cell>
          <cell r="K14" t="str">
            <v>1ml</v>
          </cell>
        </row>
        <row r="15">
          <cell r="C15" t="str">
            <v>AdrenalineInj. 1mg/ml</v>
          </cell>
          <cell r="G15">
            <v>13</v>
          </cell>
          <cell r="H15" t="str">
            <v>ml</v>
          </cell>
          <cell r="I15">
            <v>15.08</v>
          </cell>
          <cell r="J15">
            <v>1</v>
          </cell>
          <cell r="K15" t="str">
            <v>1ml</v>
          </cell>
        </row>
        <row r="16">
          <cell r="C16" t="str">
            <v xml:space="preserve">AlbendazoleTab 400mg </v>
          </cell>
          <cell r="I16">
            <v>0</v>
          </cell>
          <cell r="K16" t="str">
            <v/>
          </cell>
        </row>
        <row r="17">
          <cell r="C17" t="str">
            <v>Aluminium Hydroxide +Magnesium HydroxideSusp. Aluminium, Hydroxide200mg+Magnesium Hydroxide 200mg/5ml</v>
          </cell>
          <cell r="D17">
            <v>120</v>
          </cell>
          <cell r="E17" t="str">
            <v>ml</v>
          </cell>
          <cell r="F17">
            <v>15</v>
          </cell>
          <cell r="G17">
            <v>0.625</v>
          </cell>
          <cell r="H17" t="str">
            <v>ml</v>
          </cell>
          <cell r="I17">
            <v>0.72499999999999998</v>
          </cell>
          <cell r="J17">
            <v>5</v>
          </cell>
          <cell r="K17" t="str">
            <v>5ml</v>
          </cell>
        </row>
        <row r="18">
          <cell r="C18" t="str">
            <v>AminophyllinInj. 250mg</v>
          </cell>
          <cell r="D18">
            <v>10</v>
          </cell>
          <cell r="E18" t="str">
            <v>ml</v>
          </cell>
          <cell r="F18">
            <v>6</v>
          </cell>
          <cell r="G18">
            <v>0.6</v>
          </cell>
          <cell r="H18" t="str">
            <v>ml</v>
          </cell>
          <cell r="I18">
            <v>0.69599999999999995</v>
          </cell>
          <cell r="J18">
            <v>1</v>
          </cell>
          <cell r="K18" t="str">
            <v>1ml</v>
          </cell>
        </row>
        <row r="19">
          <cell r="C19" t="str">
            <v>Amoxicillin + Clavulanic acidSyp. 125 + 31.25</v>
          </cell>
          <cell r="I19">
            <v>0</v>
          </cell>
          <cell r="K19" t="str">
            <v/>
          </cell>
        </row>
        <row r="20">
          <cell r="C20" t="str">
            <v>Amoxicillin + Clavulanic acidTablet 500 mg + 125 mg</v>
          </cell>
          <cell r="I20">
            <v>0</v>
          </cell>
          <cell r="K20" t="str">
            <v/>
          </cell>
        </row>
        <row r="21">
          <cell r="C21" t="str">
            <v>AmoxicillinCapsule or tablet, 250 mg (anhydrous) Strip/blister</v>
          </cell>
          <cell r="D21">
            <v>100</v>
          </cell>
          <cell r="E21" t="str">
            <v>tab</v>
          </cell>
          <cell r="F21">
            <v>198</v>
          </cell>
          <cell r="G21">
            <v>2.5</v>
          </cell>
          <cell r="H21" t="str">
            <v>tab</v>
          </cell>
          <cell r="I21">
            <v>2.9</v>
          </cell>
          <cell r="J21">
            <v>1</v>
          </cell>
          <cell r="K21" t="str">
            <v>1tab</v>
          </cell>
        </row>
        <row r="22">
          <cell r="C22" t="str">
            <v>AmoxicillinPowder for oral suspension, 250 mg/5ml</v>
          </cell>
          <cell r="D22">
            <v>1</v>
          </cell>
          <cell r="E22" t="str">
            <v>ml</v>
          </cell>
          <cell r="F22">
            <v>0.6</v>
          </cell>
          <cell r="G22">
            <v>2.5</v>
          </cell>
          <cell r="H22" t="str">
            <v>ml</v>
          </cell>
          <cell r="I22">
            <v>2.9</v>
          </cell>
          <cell r="J22">
            <v>5</v>
          </cell>
          <cell r="K22" t="str">
            <v>5ml</v>
          </cell>
        </row>
        <row r="23">
          <cell r="C23" t="str">
            <v>AmpicillinInj.250mg</v>
          </cell>
          <cell r="G23">
            <v>8</v>
          </cell>
          <cell r="H23" t="str">
            <v>inj</v>
          </cell>
          <cell r="I23">
            <v>9.2799999999999994</v>
          </cell>
          <cell r="J23">
            <v>1</v>
          </cell>
          <cell r="K23" t="str">
            <v>1inj</v>
          </cell>
        </row>
        <row r="24">
          <cell r="C24" t="str">
            <v>Angiotensin inhibitor (enalapril maleate)5mg</v>
          </cell>
          <cell r="I24">
            <v>0</v>
          </cell>
          <cell r="K24" t="str">
            <v/>
          </cell>
        </row>
        <row r="25">
          <cell r="C25" t="str">
            <v>ArtesunateTab. 50mg</v>
          </cell>
          <cell r="E25" t="str">
            <v>tab</v>
          </cell>
          <cell r="G25">
            <v>16</v>
          </cell>
          <cell r="I25">
            <v>18.559999999999999</v>
          </cell>
          <cell r="K25" t="str">
            <v/>
          </cell>
        </row>
        <row r="26">
          <cell r="C26" t="str">
            <v>Ascorbic AcidTab. 100mg</v>
          </cell>
          <cell r="G26">
            <v>0.54</v>
          </cell>
          <cell r="H26" t="str">
            <v>tab</v>
          </cell>
          <cell r="I26">
            <v>0.62640000000000007</v>
          </cell>
          <cell r="J26">
            <v>1</v>
          </cell>
          <cell r="K26" t="str">
            <v>1tab</v>
          </cell>
        </row>
        <row r="27">
          <cell r="C27" t="str">
            <v>Atenolol 50mg</v>
          </cell>
          <cell r="G27">
            <v>0.38</v>
          </cell>
          <cell r="H27" t="str">
            <v>tab</v>
          </cell>
          <cell r="I27">
            <v>0.44080000000000003</v>
          </cell>
          <cell r="J27">
            <v>1</v>
          </cell>
          <cell r="K27" t="str">
            <v>1tab</v>
          </cell>
        </row>
        <row r="28">
          <cell r="C28" t="str">
            <v>Atropine SulphateInjection 0.5 mg/ ml Amp of 1ml</v>
          </cell>
          <cell r="I28">
            <v>0</v>
          </cell>
          <cell r="K28" t="str">
            <v/>
          </cell>
        </row>
        <row r="29">
          <cell r="C29" t="str">
            <v>AtropineInj. Atropine 1mg</v>
          </cell>
          <cell r="G29">
            <v>10</v>
          </cell>
          <cell r="H29" t="str">
            <v>tab</v>
          </cell>
          <cell r="I29">
            <v>11.6</v>
          </cell>
          <cell r="J29">
            <v>1</v>
          </cell>
          <cell r="K29" t="str">
            <v>1tab</v>
          </cell>
        </row>
        <row r="30">
          <cell r="C30" t="str">
            <v>BCG</v>
          </cell>
          <cell r="G30">
            <v>10.5</v>
          </cell>
          <cell r="H30" t="str">
            <v>dose</v>
          </cell>
          <cell r="I30">
            <v>12.18</v>
          </cell>
          <cell r="J30">
            <v>1</v>
          </cell>
          <cell r="K30" t="str">
            <v>1dose</v>
          </cell>
        </row>
        <row r="31">
          <cell r="C31" t="str">
            <v>B-ComplexSyp. B.Complex with Lysine120ml</v>
          </cell>
          <cell r="D31">
            <v>120</v>
          </cell>
          <cell r="E31" t="str">
            <v>ml</v>
          </cell>
          <cell r="F31">
            <v>15</v>
          </cell>
          <cell r="G31">
            <v>0.625</v>
          </cell>
          <cell r="H31" t="str">
            <v>ml</v>
          </cell>
          <cell r="I31">
            <v>0.72499999999999998</v>
          </cell>
          <cell r="J31">
            <v>5</v>
          </cell>
          <cell r="K31" t="str">
            <v>5ml</v>
          </cell>
        </row>
        <row r="32">
          <cell r="C32" t="str">
            <v>B-ComplexTab.B-Complex+Minerals</v>
          </cell>
          <cell r="D32">
            <v>30</v>
          </cell>
          <cell r="E32" t="str">
            <v>tab</v>
          </cell>
          <cell r="F32">
            <v>55</v>
          </cell>
          <cell r="G32">
            <v>1.8333333333333333</v>
          </cell>
          <cell r="H32" t="str">
            <v>tab</v>
          </cell>
          <cell r="I32">
            <v>2.1266666666666665</v>
          </cell>
          <cell r="J32">
            <v>1</v>
          </cell>
          <cell r="K32" t="str">
            <v>1tab</v>
          </cell>
        </row>
        <row r="33">
          <cell r="C33" t="str">
            <v>Benzoic Acid +Salicylic AcidOintment or Cream 6% + 3%</v>
          </cell>
          <cell r="I33">
            <v>0</v>
          </cell>
          <cell r="K33" t="str">
            <v/>
          </cell>
        </row>
        <row r="34">
          <cell r="C34" t="str">
            <v>Benzoin compound</v>
          </cell>
          <cell r="I34">
            <v>0</v>
          </cell>
          <cell r="K34" t="str">
            <v/>
          </cell>
        </row>
        <row r="35">
          <cell r="C35" t="str">
            <v>Benzoyl benzoateLotion 25%</v>
          </cell>
          <cell r="D35">
            <v>60</v>
          </cell>
          <cell r="E35" t="str">
            <v>ml</v>
          </cell>
          <cell r="F35">
            <v>15</v>
          </cell>
          <cell r="G35">
            <v>0.25</v>
          </cell>
          <cell r="H35" t="str">
            <v>ml</v>
          </cell>
          <cell r="I35">
            <v>0.28999999999999998</v>
          </cell>
          <cell r="J35">
            <v>1</v>
          </cell>
          <cell r="K35" t="str">
            <v>1ml</v>
          </cell>
        </row>
        <row r="36">
          <cell r="C36" t="str">
            <v>BisacodylTablet 5mg</v>
          </cell>
          <cell r="G36">
            <v>0.35</v>
          </cell>
          <cell r="H36" t="str">
            <v>tab</v>
          </cell>
          <cell r="I36">
            <v>0.40599999999999997</v>
          </cell>
          <cell r="J36">
            <v>1</v>
          </cell>
          <cell r="K36" t="str">
            <v>1tab</v>
          </cell>
        </row>
        <row r="37">
          <cell r="C37" t="str">
            <v>CalaminLotion 15%</v>
          </cell>
          <cell r="D37">
            <v>120</v>
          </cell>
          <cell r="E37" t="str">
            <v>ml</v>
          </cell>
          <cell r="F37">
            <v>205</v>
          </cell>
          <cell r="G37">
            <v>1.7083333333333333</v>
          </cell>
          <cell r="H37" t="str">
            <v>ml</v>
          </cell>
          <cell r="I37">
            <v>1.9816666666666665</v>
          </cell>
          <cell r="J37">
            <v>1</v>
          </cell>
          <cell r="K37" t="str">
            <v>1ml</v>
          </cell>
        </row>
        <row r="38">
          <cell r="C38" t="str">
            <v>Calcium LactateTab. 10mg</v>
          </cell>
          <cell r="G38">
            <v>0.78</v>
          </cell>
          <cell r="H38" t="str">
            <v>tab</v>
          </cell>
          <cell r="I38">
            <v>0.90480000000000005</v>
          </cell>
          <cell r="J38">
            <v>1</v>
          </cell>
          <cell r="K38" t="str">
            <v>1tab</v>
          </cell>
        </row>
        <row r="39">
          <cell r="C39" t="str">
            <v>CeftriaxoneInj. 250mg</v>
          </cell>
          <cell r="D39">
            <v>1</v>
          </cell>
          <cell r="E39" t="str">
            <v>vial</v>
          </cell>
          <cell r="F39">
            <v>29</v>
          </cell>
          <cell r="G39">
            <v>29</v>
          </cell>
          <cell r="I39">
            <v>33.64</v>
          </cell>
          <cell r="K39" t="str">
            <v/>
          </cell>
        </row>
        <row r="40">
          <cell r="C40" t="str">
            <v xml:space="preserve">ChloramphenicolEar drops </v>
          </cell>
          <cell r="I40">
            <v>0</v>
          </cell>
          <cell r="K40" t="str">
            <v/>
          </cell>
        </row>
        <row r="41">
          <cell r="C41" t="str">
            <v>ChloramphenicolEye drops 0.5%</v>
          </cell>
          <cell r="D41">
            <v>10</v>
          </cell>
          <cell r="E41" t="str">
            <v>ml</v>
          </cell>
          <cell r="F41">
            <v>10</v>
          </cell>
          <cell r="G41">
            <v>1</v>
          </cell>
          <cell r="H41" t="str">
            <v>ml</v>
          </cell>
          <cell r="I41">
            <v>1.1599999999999999</v>
          </cell>
          <cell r="J41">
            <v>1</v>
          </cell>
          <cell r="K41" t="str">
            <v>1ml</v>
          </cell>
        </row>
        <row r="42">
          <cell r="C42" t="str">
            <v>ChloramphenicolEye-oint. 1%</v>
          </cell>
          <cell r="G42">
            <v>4.75</v>
          </cell>
          <cell r="H42" t="str">
            <v>ml</v>
          </cell>
          <cell r="I42">
            <v>5.51</v>
          </cell>
          <cell r="J42">
            <v>1</v>
          </cell>
          <cell r="K42" t="str">
            <v>1ml</v>
          </cell>
        </row>
        <row r="43">
          <cell r="C43" t="str">
            <v>Chlorine Concentrated solution or powder</v>
          </cell>
          <cell r="I43">
            <v>0</v>
          </cell>
          <cell r="K43" t="str">
            <v/>
          </cell>
        </row>
        <row r="44">
          <cell r="C44" t="str">
            <v>ChloroquineSyrup, 50 mg/5ml (as phosphate or sulphate)</v>
          </cell>
          <cell r="D44">
            <v>60</v>
          </cell>
          <cell r="E44" t="str">
            <v>ml</v>
          </cell>
          <cell r="F44">
            <v>12</v>
          </cell>
          <cell r="G44">
            <v>1</v>
          </cell>
          <cell r="H44" t="str">
            <v>ml</v>
          </cell>
          <cell r="I44">
            <v>1.1599999999999999</v>
          </cell>
          <cell r="J44">
            <v>5</v>
          </cell>
          <cell r="K44" t="str">
            <v>5ml</v>
          </cell>
        </row>
        <row r="45">
          <cell r="C45" t="str">
            <v>ChloroquineTablet, 150 mg (as phosphate or sulfate) Strip/blister</v>
          </cell>
          <cell r="D45">
            <v>1000</v>
          </cell>
          <cell r="E45" t="str">
            <v>tab</v>
          </cell>
          <cell r="F45">
            <v>527.79999999999995</v>
          </cell>
          <cell r="G45">
            <v>0.52779999999999994</v>
          </cell>
          <cell r="H45" t="str">
            <v>tab</v>
          </cell>
          <cell r="I45">
            <v>0.6122479999999999</v>
          </cell>
          <cell r="J45">
            <v>1</v>
          </cell>
          <cell r="K45" t="str">
            <v>1tab</v>
          </cell>
        </row>
        <row r="46">
          <cell r="C46" t="str">
            <v>ChlorpheniramineSyrup ,2 mg /5 ml</v>
          </cell>
          <cell r="D46">
            <v>120</v>
          </cell>
          <cell r="E46" t="str">
            <v>ml</v>
          </cell>
          <cell r="F46">
            <v>9</v>
          </cell>
          <cell r="G46">
            <v>0.375</v>
          </cell>
          <cell r="H46" t="str">
            <v>ml</v>
          </cell>
          <cell r="I46">
            <v>0.435</v>
          </cell>
          <cell r="J46">
            <v>5</v>
          </cell>
          <cell r="K46" t="str">
            <v>5ml</v>
          </cell>
        </row>
        <row r="47">
          <cell r="C47" t="str">
            <v>ChlorpheniramineTablet , 4 mg Strip/blister</v>
          </cell>
          <cell r="D47">
            <v>500</v>
          </cell>
          <cell r="F47">
            <v>69</v>
          </cell>
          <cell r="G47">
            <v>0.13800000000000001</v>
          </cell>
          <cell r="H47" t="str">
            <v>tab</v>
          </cell>
          <cell r="I47">
            <v>0.16008</v>
          </cell>
          <cell r="J47">
            <v>1</v>
          </cell>
          <cell r="K47" t="str">
            <v>1tab</v>
          </cell>
        </row>
        <row r="48">
          <cell r="C48" t="str">
            <v>CiprofloxacinTab. 500mg</v>
          </cell>
          <cell r="E48" t="str">
            <v>tab</v>
          </cell>
          <cell r="G48">
            <v>3</v>
          </cell>
          <cell r="H48" t="str">
            <v>tab</v>
          </cell>
          <cell r="I48">
            <v>3.48</v>
          </cell>
          <cell r="J48">
            <v>1</v>
          </cell>
          <cell r="K48" t="str">
            <v>1tab</v>
          </cell>
        </row>
        <row r="49">
          <cell r="C49" t="str">
            <v>Clotrimazole1 % Cream</v>
          </cell>
          <cell r="D49">
            <v>20</v>
          </cell>
          <cell r="E49" t="str">
            <v>gm</v>
          </cell>
          <cell r="F49">
            <v>15</v>
          </cell>
          <cell r="G49">
            <v>0.75</v>
          </cell>
          <cell r="H49" t="str">
            <v>gm</v>
          </cell>
          <cell r="I49">
            <v>0.87</v>
          </cell>
          <cell r="J49">
            <v>1</v>
          </cell>
          <cell r="K49" t="str">
            <v>1gm</v>
          </cell>
        </row>
        <row r="50">
          <cell r="C50" t="str">
            <v>DexamethasoneTablet 0.5mg Strip/blister</v>
          </cell>
          <cell r="E50" t="str">
            <v>tab</v>
          </cell>
          <cell r="G50">
            <v>0.4</v>
          </cell>
          <cell r="H50" t="str">
            <v>tab</v>
          </cell>
          <cell r="I50">
            <v>0.46400000000000002</v>
          </cell>
          <cell r="J50">
            <v>1</v>
          </cell>
          <cell r="K50" t="str">
            <v>1tab</v>
          </cell>
        </row>
        <row r="51">
          <cell r="C51" t="str">
            <v>DextranInjection 6%</v>
          </cell>
          <cell r="G51">
            <v>0.9</v>
          </cell>
          <cell r="H51" t="str">
            <v>ml</v>
          </cell>
          <cell r="I51">
            <v>1.044</v>
          </cell>
          <cell r="J51">
            <v>1</v>
          </cell>
          <cell r="K51" t="str">
            <v>1ml</v>
          </cell>
        </row>
        <row r="52">
          <cell r="C52" t="str">
            <v>DextroseInfusion 5% 1000ml</v>
          </cell>
          <cell r="D52">
            <v>1000</v>
          </cell>
          <cell r="E52" t="str">
            <v>ml</v>
          </cell>
          <cell r="F52">
            <v>40</v>
          </cell>
          <cell r="G52">
            <v>40</v>
          </cell>
          <cell r="H52" t="str">
            <v>ml</v>
          </cell>
          <cell r="I52">
            <v>46.4</v>
          </cell>
          <cell r="J52">
            <v>1000</v>
          </cell>
          <cell r="K52" t="str">
            <v>1000ml</v>
          </cell>
        </row>
        <row r="53">
          <cell r="C53" t="str">
            <v>DextroseInfusion 5% 500ml</v>
          </cell>
          <cell r="D53">
            <v>500</v>
          </cell>
          <cell r="E53" t="str">
            <v>ml</v>
          </cell>
          <cell r="F53">
            <v>30</v>
          </cell>
          <cell r="G53">
            <v>30</v>
          </cell>
          <cell r="H53" t="str">
            <v>ml</v>
          </cell>
          <cell r="I53">
            <v>34.799999999999997</v>
          </cell>
          <cell r="J53">
            <v>500</v>
          </cell>
          <cell r="K53" t="str">
            <v>500ml</v>
          </cell>
        </row>
        <row r="54">
          <cell r="C54" t="str">
            <v>DiazepamInjection, 5 mg/ml in 2-ml ampoule</v>
          </cell>
          <cell r="G54">
            <v>9</v>
          </cell>
          <cell r="H54" t="str">
            <v>ml</v>
          </cell>
          <cell r="I54">
            <v>10.44</v>
          </cell>
          <cell r="J54">
            <v>1</v>
          </cell>
          <cell r="K54" t="str">
            <v>1ml</v>
          </cell>
        </row>
        <row r="55">
          <cell r="C55" t="str">
            <v>DiazepamTab 5mg</v>
          </cell>
          <cell r="D55">
            <v>1000</v>
          </cell>
          <cell r="E55" t="str">
            <v>tab</v>
          </cell>
          <cell r="F55">
            <v>600</v>
          </cell>
          <cell r="G55">
            <v>0.6</v>
          </cell>
          <cell r="H55" t="str">
            <v>tab</v>
          </cell>
          <cell r="I55">
            <v>0.69599999999999995</v>
          </cell>
          <cell r="J55">
            <v>1</v>
          </cell>
          <cell r="K55" t="str">
            <v>1tab</v>
          </cell>
        </row>
        <row r="56">
          <cell r="C56" t="str">
            <v>Diclofenac SodiumInjection 75mg/3ml</v>
          </cell>
          <cell r="D56">
            <v>1</v>
          </cell>
          <cell r="E56" t="str">
            <v>amp</v>
          </cell>
          <cell r="F56">
            <v>3</v>
          </cell>
          <cell r="G56">
            <v>3</v>
          </cell>
          <cell r="H56" t="str">
            <v>amp</v>
          </cell>
          <cell r="I56">
            <v>3.48</v>
          </cell>
          <cell r="J56">
            <v>1</v>
          </cell>
          <cell r="K56" t="str">
            <v>1amp</v>
          </cell>
        </row>
        <row r="57">
          <cell r="C57" t="str">
            <v>Diclofenac SodiumTab. 50mg and 75 mg</v>
          </cell>
          <cell r="I57">
            <v>0</v>
          </cell>
          <cell r="K57" t="str">
            <v/>
          </cell>
        </row>
        <row r="58">
          <cell r="C58" t="str">
            <v>DigoxinTab. 250mcg</v>
          </cell>
          <cell r="G58">
            <v>1.25</v>
          </cell>
          <cell r="H58" t="str">
            <v>tab</v>
          </cell>
          <cell r="I58">
            <v>1.45</v>
          </cell>
          <cell r="J58">
            <v>1</v>
          </cell>
          <cell r="K58" t="str">
            <v>1tab</v>
          </cell>
        </row>
        <row r="59">
          <cell r="C59" t="str">
            <v>Diloxanide FuroateTablets 500 mg</v>
          </cell>
          <cell r="I59">
            <v>0</v>
          </cell>
          <cell r="K59" t="str">
            <v/>
          </cell>
        </row>
        <row r="60">
          <cell r="C60" t="str">
            <v>DimenhydrinateInj. 10mg/2ml</v>
          </cell>
          <cell r="D60">
            <v>1</v>
          </cell>
          <cell r="E60" t="str">
            <v>ml</v>
          </cell>
          <cell r="F60">
            <v>2.5</v>
          </cell>
          <cell r="G60">
            <v>5</v>
          </cell>
          <cell r="H60" t="str">
            <v>ml</v>
          </cell>
          <cell r="I60">
            <v>5.8</v>
          </cell>
          <cell r="J60">
            <v>2</v>
          </cell>
          <cell r="K60" t="str">
            <v>2ml</v>
          </cell>
        </row>
        <row r="61">
          <cell r="C61" t="str">
            <v>DimenhydrinateSyp.12.5mg/4ml</v>
          </cell>
          <cell r="D61">
            <v>60</v>
          </cell>
          <cell r="E61" t="str">
            <v>ml</v>
          </cell>
          <cell r="F61">
            <v>12</v>
          </cell>
          <cell r="G61">
            <v>0.8</v>
          </cell>
          <cell r="H61" t="str">
            <v>ml</v>
          </cell>
          <cell r="I61">
            <v>0.92800000000000005</v>
          </cell>
          <cell r="J61">
            <v>4</v>
          </cell>
          <cell r="K61" t="str">
            <v>4ml</v>
          </cell>
        </row>
        <row r="62">
          <cell r="C62" t="str">
            <v>DimenhydrinateTab.50mg</v>
          </cell>
          <cell r="D62">
            <v>100</v>
          </cell>
          <cell r="E62" t="str">
            <v>tab</v>
          </cell>
          <cell r="F62">
            <v>35</v>
          </cell>
          <cell r="G62">
            <v>0.35</v>
          </cell>
          <cell r="H62" t="str">
            <v>tab</v>
          </cell>
          <cell r="I62">
            <v>0.40599999999999997</v>
          </cell>
          <cell r="J62">
            <v>1</v>
          </cell>
          <cell r="K62" t="str">
            <v>1tab</v>
          </cell>
        </row>
        <row r="63">
          <cell r="C63" t="str">
            <v>Dispirin CV / LoprinTab. 75mg</v>
          </cell>
          <cell r="G63">
            <v>3</v>
          </cell>
          <cell r="H63" t="str">
            <v>tab</v>
          </cell>
          <cell r="I63">
            <v>3.48</v>
          </cell>
          <cell r="J63">
            <v>1</v>
          </cell>
          <cell r="K63" t="str">
            <v>1tab</v>
          </cell>
        </row>
        <row r="64">
          <cell r="C64" t="str">
            <v>Doxycycline Cap. 100mg</v>
          </cell>
          <cell r="G64">
            <v>1.2</v>
          </cell>
          <cell r="H64" t="str">
            <v>tab</v>
          </cell>
          <cell r="I64">
            <v>1.3919999999999999</v>
          </cell>
          <cell r="J64">
            <v>1</v>
          </cell>
          <cell r="K64" t="str">
            <v>1tab</v>
          </cell>
        </row>
        <row r="65">
          <cell r="C65" t="str">
            <v>ErgometrineInj. 200mcg/ml</v>
          </cell>
          <cell r="I65">
            <v>0</v>
          </cell>
          <cell r="K65" t="str">
            <v/>
          </cell>
        </row>
        <row r="66">
          <cell r="C66" t="str">
            <v>ErythromycinSuspension 200mg/5ml</v>
          </cell>
          <cell r="G66">
            <v>7.5</v>
          </cell>
          <cell r="H66" t="str">
            <v>inj</v>
          </cell>
          <cell r="I66">
            <v>8.6999999999999993</v>
          </cell>
          <cell r="J66">
            <v>1</v>
          </cell>
          <cell r="K66" t="str">
            <v>1inj</v>
          </cell>
        </row>
        <row r="67">
          <cell r="C67" t="str">
            <v>ErythromycinTab. 250mg</v>
          </cell>
          <cell r="G67">
            <v>2.4</v>
          </cell>
          <cell r="H67" t="str">
            <v>tab</v>
          </cell>
          <cell r="I67">
            <v>2.7839999999999998</v>
          </cell>
          <cell r="J67">
            <v>1</v>
          </cell>
          <cell r="K67" t="str">
            <v>1tab</v>
          </cell>
        </row>
        <row r="68">
          <cell r="C68" t="str">
            <v>EthambutolTablet, 400 mg Strip/blister</v>
          </cell>
          <cell r="E68" t="str">
            <v>tab</v>
          </cell>
          <cell r="G68">
            <v>3</v>
          </cell>
          <cell r="H68" t="str">
            <v>tab</v>
          </cell>
          <cell r="I68">
            <v>3.48</v>
          </cell>
          <cell r="J68">
            <v>1</v>
          </cell>
          <cell r="K68" t="str">
            <v>1tab</v>
          </cell>
        </row>
        <row r="69">
          <cell r="C69" t="str">
            <v>Ferrous SaltSyp. 25mg iron/ml</v>
          </cell>
          <cell r="D69">
            <v>120</v>
          </cell>
          <cell r="E69" t="str">
            <v>ml</v>
          </cell>
          <cell r="F69">
            <v>18</v>
          </cell>
          <cell r="G69">
            <v>0.75</v>
          </cell>
          <cell r="H69" t="str">
            <v>ml</v>
          </cell>
          <cell r="I69">
            <v>0.87</v>
          </cell>
          <cell r="J69">
            <v>5</v>
          </cell>
          <cell r="K69" t="str">
            <v>5ml</v>
          </cell>
        </row>
        <row r="70">
          <cell r="C70" t="str">
            <v>Ferrous sulphate/fumerate+ folic acidTablet , equivalent to 60 mgiron+ folic acid 0.5mg</v>
          </cell>
          <cell r="G70">
            <v>1.6</v>
          </cell>
          <cell r="H70" t="str">
            <v>capsule</v>
          </cell>
          <cell r="I70">
            <v>1.8560000000000001</v>
          </cell>
          <cell r="J70">
            <v>1</v>
          </cell>
          <cell r="K70" t="str">
            <v>1capsule</v>
          </cell>
        </row>
        <row r="71">
          <cell r="C71" t="str">
            <v>FluoxetineCap 20mg</v>
          </cell>
          <cell r="G71">
            <v>0.8</v>
          </cell>
          <cell r="H71" t="str">
            <v>cap</v>
          </cell>
          <cell r="I71">
            <v>0.92800000000000005</v>
          </cell>
          <cell r="J71">
            <v>1</v>
          </cell>
          <cell r="K71" t="str">
            <v>1cap</v>
          </cell>
        </row>
        <row r="72">
          <cell r="C72" t="str">
            <v>Folic acidTab. 5mg</v>
          </cell>
          <cell r="D72">
            <v>500</v>
          </cell>
          <cell r="E72" t="str">
            <v>tab</v>
          </cell>
          <cell r="F72">
            <v>55</v>
          </cell>
          <cell r="G72">
            <v>0.11</v>
          </cell>
          <cell r="H72" t="str">
            <v>tab</v>
          </cell>
          <cell r="I72">
            <v>0.12759999999999999</v>
          </cell>
          <cell r="J72">
            <v>1</v>
          </cell>
          <cell r="K72" t="str">
            <v>1tab</v>
          </cell>
        </row>
        <row r="73">
          <cell r="C73" t="str">
            <v>FurosemideInjection Furosemide 20 mg/2ml (Amp of 2ml)</v>
          </cell>
          <cell r="D73">
            <v>2</v>
          </cell>
          <cell r="E73" t="str">
            <v>ml</v>
          </cell>
          <cell r="F73">
            <v>8.84</v>
          </cell>
          <cell r="G73">
            <v>4.42</v>
          </cell>
          <cell r="H73" t="str">
            <v>ml</v>
          </cell>
          <cell r="I73">
            <v>5.1272000000000002</v>
          </cell>
          <cell r="J73">
            <v>1</v>
          </cell>
          <cell r="K73" t="str">
            <v>1ml</v>
          </cell>
        </row>
        <row r="74">
          <cell r="C74" t="str">
            <v>FurosemideTablets 40 mg Strip/blister</v>
          </cell>
          <cell r="G74">
            <v>0.41</v>
          </cell>
          <cell r="H74" t="str">
            <v>tab</v>
          </cell>
          <cell r="I74">
            <v>0.47559999999999997</v>
          </cell>
          <cell r="J74">
            <v>1</v>
          </cell>
          <cell r="K74" t="str">
            <v>1tab</v>
          </cell>
        </row>
        <row r="75">
          <cell r="C75" t="str">
            <v xml:space="preserve">Gentian violetPaint 0.5%, </v>
          </cell>
          <cell r="D75">
            <v>30</v>
          </cell>
          <cell r="E75" t="str">
            <v>ml</v>
          </cell>
          <cell r="F75">
            <v>15</v>
          </cell>
          <cell r="G75">
            <v>2.5</v>
          </cell>
          <cell r="H75" t="str">
            <v>ml</v>
          </cell>
          <cell r="I75">
            <v>2.9</v>
          </cell>
          <cell r="J75">
            <v>5</v>
          </cell>
          <cell r="K75" t="str">
            <v>5ml</v>
          </cell>
        </row>
        <row r="76">
          <cell r="C76" t="str">
            <v>GlibenclamideTab 5mg</v>
          </cell>
          <cell r="D76">
            <v>60</v>
          </cell>
          <cell r="E76" t="str">
            <v>tab</v>
          </cell>
          <cell r="F76">
            <v>15</v>
          </cell>
          <cell r="G76">
            <v>0.25</v>
          </cell>
          <cell r="H76" t="str">
            <v>tab</v>
          </cell>
          <cell r="I76">
            <v>0.28999999999999998</v>
          </cell>
          <cell r="J76">
            <v>1</v>
          </cell>
          <cell r="K76" t="str">
            <v>1tab</v>
          </cell>
        </row>
        <row r="77">
          <cell r="C77" t="str">
            <v>Glucose with sodium chlorideInjectable solution, 5% glucose, 0.18% sodium chloride 500ml with IV set</v>
          </cell>
          <cell r="I77">
            <v>0</v>
          </cell>
          <cell r="K77" t="str">
            <v/>
          </cell>
        </row>
        <row r="78">
          <cell r="C78" t="str">
            <v>Glucose with sodium chlorideInjectable solution, 5% glucose, 0.9% sodium chloride 1000ml with IV set</v>
          </cell>
          <cell r="I78">
            <v>0</v>
          </cell>
          <cell r="K78" t="str">
            <v/>
          </cell>
        </row>
        <row r="79">
          <cell r="C79" t="str">
            <v>GlycerineSuppository</v>
          </cell>
          <cell r="G79">
            <v>82</v>
          </cell>
          <cell r="I79">
            <v>95.12</v>
          </cell>
          <cell r="K79" t="str">
            <v/>
          </cell>
        </row>
        <row r="80">
          <cell r="C80" t="str">
            <v>Glyceryl TrinitrateSublingual Tab. 0.5 mg</v>
          </cell>
          <cell r="G80">
            <v>2</v>
          </cell>
          <cell r="H80" t="str">
            <v>tab</v>
          </cell>
          <cell r="I80">
            <v>2.3199999999999998</v>
          </cell>
          <cell r="J80">
            <v>1</v>
          </cell>
          <cell r="K80" t="str">
            <v>1tab</v>
          </cell>
        </row>
        <row r="81">
          <cell r="C81" t="str">
            <v>GriseofulvinCapsules or Tablets 125 mg,</v>
          </cell>
          <cell r="D81">
            <v>1000</v>
          </cell>
          <cell r="E81" t="str">
            <v>tab</v>
          </cell>
          <cell r="F81">
            <v>1203</v>
          </cell>
          <cell r="G81">
            <v>1.2030000000000001</v>
          </cell>
          <cell r="H81" t="str">
            <v>tab</v>
          </cell>
          <cell r="I81">
            <v>1.3954800000000001</v>
          </cell>
          <cell r="J81">
            <v>1</v>
          </cell>
          <cell r="K81" t="str">
            <v>1tab</v>
          </cell>
        </row>
        <row r="82">
          <cell r="C82" t="str">
            <v>HaemaccelInjectable solution 500ml With</v>
          </cell>
          <cell r="I82">
            <v>0</v>
          </cell>
          <cell r="K82" t="str">
            <v/>
          </cell>
        </row>
        <row r="83">
          <cell r="C83" t="str">
            <v>Hepatitis B vaccine</v>
          </cell>
          <cell r="G83">
            <v>36.4</v>
          </cell>
          <cell r="H83" t="str">
            <v>dose</v>
          </cell>
          <cell r="I83">
            <v>42.223999999999997</v>
          </cell>
          <cell r="J83">
            <v>1</v>
          </cell>
          <cell r="K83" t="str">
            <v>1dose</v>
          </cell>
        </row>
        <row r="84">
          <cell r="C84" t="str">
            <v>HydrochlorthiazideTablets 50 mg</v>
          </cell>
          <cell r="D84">
            <v>1000</v>
          </cell>
          <cell r="E84" t="str">
            <v>tab</v>
          </cell>
          <cell r="F84">
            <v>304.85000000000002</v>
          </cell>
          <cell r="G84">
            <v>0.30485000000000001</v>
          </cell>
          <cell r="H84" t="str">
            <v>tab</v>
          </cell>
          <cell r="I84">
            <v>0.353626</v>
          </cell>
          <cell r="J84">
            <v>1</v>
          </cell>
          <cell r="K84" t="str">
            <v>1tab</v>
          </cell>
        </row>
        <row r="85">
          <cell r="C85" t="str">
            <v>HydrocortisonePowder for inj.250mg (assodium succinate )in vial</v>
          </cell>
          <cell r="E85" t="str">
            <v>vial</v>
          </cell>
          <cell r="G85">
            <v>59</v>
          </cell>
          <cell r="I85">
            <v>68.44</v>
          </cell>
          <cell r="K85" t="str">
            <v/>
          </cell>
        </row>
        <row r="86">
          <cell r="C86" t="str">
            <v>HydrocortisonePowder for injection , 100mg(as sodium succinate )in vial</v>
          </cell>
          <cell r="E86" t="str">
            <v>vial</v>
          </cell>
          <cell r="G86">
            <v>30</v>
          </cell>
          <cell r="I86">
            <v>34.799999999999997</v>
          </cell>
          <cell r="K86" t="str">
            <v/>
          </cell>
        </row>
        <row r="87">
          <cell r="C87" t="str">
            <v>Hydrogen peroxideSoln. 6%</v>
          </cell>
          <cell r="D87">
            <v>450</v>
          </cell>
          <cell r="E87" t="str">
            <v>ml</v>
          </cell>
          <cell r="F87">
            <v>30</v>
          </cell>
          <cell r="G87">
            <v>0.33333333333333331</v>
          </cell>
          <cell r="H87" t="str">
            <v>ml</v>
          </cell>
          <cell r="I87">
            <v>0.38666666666666666</v>
          </cell>
          <cell r="J87">
            <v>5</v>
          </cell>
          <cell r="K87" t="str">
            <v>5ml</v>
          </cell>
        </row>
        <row r="88">
          <cell r="C88" t="str">
            <v>Hyoscine butyl bromideInj. 20mg/2ml</v>
          </cell>
          <cell r="G88">
            <v>9.4093999999999998</v>
          </cell>
          <cell r="H88" t="str">
            <v>ml</v>
          </cell>
          <cell r="I88">
            <v>10.914904</v>
          </cell>
          <cell r="J88">
            <v>1</v>
          </cell>
          <cell r="K88" t="str">
            <v>1ml</v>
          </cell>
        </row>
        <row r="89">
          <cell r="C89" t="str">
            <v>Hyoscine butyl bromideTablet10 mg</v>
          </cell>
          <cell r="D89">
            <v>1000</v>
          </cell>
          <cell r="E89" t="str">
            <v>tab</v>
          </cell>
          <cell r="F89">
            <v>1405.95</v>
          </cell>
          <cell r="G89">
            <v>1.40595</v>
          </cell>
          <cell r="H89" t="str">
            <v>tab</v>
          </cell>
          <cell r="I89">
            <v>1.6309020000000001</v>
          </cell>
          <cell r="J89">
            <v>1</v>
          </cell>
          <cell r="K89" t="str">
            <v>1tab</v>
          </cell>
        </row>
        <row r="90">
          <cell r="C90" t="str">
            <v>IbuprofenSyrup 100mg/5ml</v>
          </cell>
          <cell r="D90">
            <v>90</v>
          </cell>
          <cell r="E90" t="str">
            <v>ml</v>
          </cell>
          <cell r="F90">
            <v>15</v>
          </cell>
          <cell r="G90">
            <v>0.83333333333333326</v>
          </cell>
          <cell r="H90" t="str">
            <v>ml</v>
          </cell>
          <cell r="I90">
            <v>0.96666666666666656</v>
          </cell>
          <cell r="J90">
            <v>5</v>
          </cell>
          <cell r="K90" t="str">
            <v>5ml</v>
          </cell>
        </row>
        <row r="91">
          <cell r="C91" t="str">
            <v>IbuprofenTablets 400mg Strip/blister</v>
          </cell>
          <cell r="D91">
            <v>10</v>
          </cell>
          <cell r="E91" t="str">
            <v>tab</v>
          </cell>
          <cell r="F91">
            <v>8</v>
          </cell>
          <cell r="G91">
            <v>0.8</v>
          </cell>
          <cell r="H91" t="str">
            <v>tab</v>
          </cell>
          <cell r="I91">
            <v>0.92800000000000005</v>
          </cell>
          <cell r="J91">
            <v>1</v>
          </cell>
          <cell r="K91" t="str">
            <v>1tab</v>
          </cell>
        </row>
        <row r="92">
          <cell r="C92" t="str">
            <v>Insulin Inj. 100 IU/ml</v>
          </cell>
          <cell r="G92">
            <v>254</v>
          </cell>
          <cell r="H92" t="str">
            <v>vial</v>
          </cell>
          <cell r="I92">
            <v>294.64</v>
          </cell>
          <cell r="J92">
            <v>1</v>
          </cell>
          <cell r="K92" t="str">
            <v>1vial</v>
          </cell>
        </row>
        <row r="93">
          <cell r="C93" t="str">
            <v>InsulinInj. 40 IU/ml</v>
          </cell>
          <cell r="G93">
            <v>254</v>
          </cell>
          <cell r="H93" t="str">
            <v>vial</v>
          </cell>
          <cell r="I93">
            <v>294.64</v>
          </cell>
          <cell r="J93">
            <v>1</v>
          </cell>
          <cell r="K93" t="str">
            <v>1vial</v>
          </cell>
        </row>
        <row r="94">
          <cell r="C94" t="str">
            <v>Isoniazide + EthambutolTablet, 150 mg + 400 mg Strip/blister</v>
          </cell>
          <cell r="E94" t="str">
            <v>tab</v>
          </cell>
          <cell r="G94">
            <v>3.25</v>
          </cell>
          <cell r="H94" t="str">
            <v>tab</v>
          </cell>
          <cell r="I94">
            <v>3.77</v>
          </cell>
          <cell r="J94">
            <v>1</v>
          </cell>
          <cell r="K94" t="str">
            <v>1tab</v>
          </cell>
        </row>
        <row r="95">
          <cell r="C95" t="str">
            <v>IsoniazideTab 100mg</v>
          </cell>
          <cell r="D95">
            <v>1000</v>
          </cell>
          <cell r="E95" t="str">
            <v>tab</v>
          </cell>
          <cell r="F95">
            <v>1500</v>
          </cell>
          <cell r="G95">
            <v>1.5</v>
          </cell>
          <cell r="H95" t="str">
            <v>tab</v>
          </cell>
          <cell r="I95">
            <v>1.74</v>
          </cell>
          <cell r="J95">
            <v>1</v>
          </cell>
          <cell r="K95" t="str">
            <v>1tab</v>
          </cell>
        </row>
        <row r="96">
          <cell r="C96" t="str">
            <v>IsosorbidedinitrateInj. 10mg/10ml</v>
          </cell>
          <cell r="D96">
            <v>10</v>
          </cell>
          <cell r="E96" t="str">
            <v>ml</v>
          </cell>
          <cell r="G96">
            <v>110</v>
          </cell>
          <cell r="H96" t="str">
            <v>ml</v>
          </cell>
          <cell r="I96">
            <v>127.6</v>
          </cell>
          <cell r="J96">
            <v>10</v>
          </cell>
          <cell r="K96" t="str">
            <v>10ml</v>
          </cell>
        </row>
        <row r="97">
          <cell r="C97" t="str">
            <v>Ispaghula</v>
          </cell>
          <cell r="I97">
            <v>0</v>
          </cell>
          <cell r="K97" t="str">
            <v/>
          </cell>
        </row>
        <row r="98">
          <cell r="C98" t="str">
            <v>IspaghullaIspaghulla Husk</v>
          </cell>
          <cell r="I98">
            <v>0</v>
          </cell>
          <cell r="K98" t="str">
            <v/>
          </cell>
        </row>
        <row r="99">
          <cell r="C99" t="str">
            <v>Levonorgestrel + ethinyl oestradiol Tab. 150mg + 30mg</v>
          </cell>
          <cell r="I99">
            <v>0</v>
          </cell>
          <cell r="K99" t="str">
            <v/>
          </cell>
        </row>
        <row r="100">
          <cell r="C100" t="str">
            <v>LevonorgestrelTab 30mcg, 750mcg, 1.5mg</v>
          </cell>
          <cell r="G100">
            <v>5</v>
          </cell>
          <cell r="I100">
            <v>5.8</v>
          </cell>
          <cell r="K100" t="str">
            <v>cycle</v>
          </cell>
        </row>
        <row r="101">
          <cell r="C101" t="str">
            <v>lignocaineInjection,2%(hydrochloride)in 10 -ml ampoule</v>
          </cell>
          <cell r="D101">
            <v>10</v>
          </cell>
          <cell r="E101" t="str">
            <v>ml</v>
          </cell>
          <cell r="F101">
            <v>8</v>
          </cell>
          <cell r="G101">
            <v>0.8</v>
          </cell>
          <cell r="H101" t="str">
            <v>ml</v>
          </cell>
          <cell r="I101">
            <v>0.92800000000000005</v>
          </cell>
          <cell r="J101">
            <v>1</v>
          </cell>
          <cell r="K101" t="str">
            <v>1ml</v>
          </cell>
        </row>
        <row r="102">
          <cell r="C102" t="str">
            <v>lignocaineTopical forms, 2% (HCl)</v>
          </cell>
          <cell r="D102">
            <v>50</v>
          </cell>
          <cell r="E102" t="str">
            <v>vial</v>
          </cell>
          <cell r="F102">
            <v>700</v>
          </cell>
          <cell r="G102">
            <v>14</v>
          </cell>
          <cell r="H102" t="str">
            <v>vial</v>
          </cell>
          <cell r="I102">
            <v>16.240000000000002</v>
          </cell>
          <cell r="J102">
            <v>1</v>
          </cell>
          <cell r="K102" t="str">
            <v>1vial</v>
          </cell>
        </row>
        <row r="103">
          <cell r="C103" t="str">
            <v>Magnesium sulphateInj. 500mg/ml</v>
          </cell>
          <cell r="D103">
            <v>50</v>
          </cell>
          <cell r="E103" t="str">
            <v>ml</v>
          </cell>
          <cell r="F103">
            <v>90</v>
          </cell>
          <cell r="G103">
            <v>1.8</v>
          </cell>
          <cell r="H103" t="str">
            <v>ml</v>
          </cell>
          <cell r="I103">
            <v>2.0880000000000001</v>
          </cell>
          <cell r="J103">
            <v>1</v>
          </cell>
          <cell r="K103" t="str">
            <v>1ml</v>
          </cell>
        </row>
        <row r="104">
          <cell r="C104" t="str">
            <v>Measles vaccine</v>
          </cell>
          <cell r="G104">
            <v>27.3</v>
          </cell>
          <cell r="H104" t="str">
            <v>dose</v>
          </cell>
          <cell r="I104">
            <v>31.667999999999999</v>
          </cell>
          <cell r="J104">
            <v>1</v>
          </cell>
          <cell r="K104" t="str">
            <v>1dose</v>
          </cell>
        </row>
        <row r="105">
          <cell r="C105" t="str">
            <v>MebendazoleSyp 100mg/5ml in 30ml</v>
          </cell>
          <cell r="D105">
            <v>1000</v>
          </cell>
          <cell r="E105" t="str">
            <v>tab</v>
          </cell>
          <cell r="F105">
            <v>151</v>
          </cell>
          <cell r="G105">
            <v>0.151</v>
          </cell>
          <cell r="H105" t="str">
            <v>tab</v>
          </cell>
          <cell r="I105">
            <v>0.17515999999999998</v>
          </cell>
          <cell r="J105">
            <v>1</v>
          </cell>
          <cell r="K105" t="str">
            <v>1tab</v>
          </cell>
        </row>
        <row r="106">
          <cell r="C106" t="str">
            <v>MebendazoleTablet,100 mg Strip/blister</v>
          </cell>
          <cell r="D106">
            <v>1000</v>
          </cell>
          <cell r="E106" t="str">
            <v>tab</v>
          </cell>
          <cell r="F106">
            <v>342</v>
          </cell>
          <cell r="G106">
            <v>0.34200000000000003</v>
          </cell>
          <cell r="H106" t="str">
            <v>tab</v>
          </cell>
          <cell r="I106">
            <v>0.39672000000000002</v>
          </cell>
          <cell r="J106">
            <v>1</v>
          </cell>
          <cell r="K106" t="str">
            <v>1tab</v>
          </cell>
        </row>
        <row r="107">
          <cell r="C107" t="str">
            <v>Medroxyprogesterone acetate (12 weekly)Inj. 150mg</v>
          </cell>
          <cell r="E107" t="str">
            <v>vial</v>
          </cell>
          <cell r="G107">
            <v>7</v>
          </cell>
          <cell r="H107" t="str">
            <v>inj</v>
          </cell>
          <cell r="I107">
            <v>8.120000000000001</v>
          </cell>
          <cell r="J107">
            <v>1</v>
          </cell>
          <cell r="K107" t="str">
            <v>1inj</v>
          </cell>
        </row>
        <row r="108">
          <cell r="C108" t="str">
            <v>MedroxyprogesteroneTab. 5mg</v>
          </cell>
          <cell r="I108">
            <v>0</v>
          </cell>
          <cell r="K108" t="str">
            <v/>
          </cell>
        </row>
        <row r="109">
          <cell r="C109" t="str">
            <v>MetforminTablet HCI 500 mg</v>
          </cell>
          <cell r="G109">
            <v>0.4</v>
          </cell>
          <cell r="H109" t="str">
            <v>tab</v>
          </cell>
          <cell r="I109">
            <v>0.46400000000000002</v>
          </cell>
          <cell r="J109">
            <v>1</v>
          </cell>
          <cell r="K109" t="str">
            <v>1tab</v>
          </cell>
        </row>
        <row r="110">
          <cell r="C110" t="str">
            <v>MethyldopaTab. 250mg</v>
          </cell>
          <cell r="G110">
            <v>3</v>
          </cell>
          <cell r="H110" t="str">
            <v>tab</v>
          </cell>
          <cell r="I110">
            <v>3.48</v>
          </cell>
          <cell r="J110">
            <v>1</v>
          </cell>
          <cell r="K110" t="str">
            <v>1tab</v>
          </cell>
        </row>
        <row r="111">
          <cell r="C111" t="str">
            <v>MetronidazoleOral suspension, 200 mg (as benzoate)/5 ml</v>
          </cell>
          <cell r="D111">
            <v>60</v>
          </cell>
          <cell r="E111" t="str">
            <v>ml</v>
          </cell>
          <cell r="F111">
            <v>13</v>
          </cell>
          <cell r="G111">
            <v>1.0833333333333335</v>
          </cell>
          <cell r="H111" t="str">
            <v>ml</v>
          </cell>
          <cell r="I111">
            <v>1.2566666666666668</v>
          </cell>
          <cell r="J111">
            <v>5</v>
          </cell>
          <cell r="K111" t="str">
            <v>5ml</v>
          </cell>
        </row>
        <row r="112">
          <cell r="C112" t="str">
            <v>MetronidazoleTablet, 400 mg Strip/blister</v>
          </cell>
          <cell r="E112" t="str">
            <v>tab</v>
          </cell>
          <cell r="G112">
            <v>0.7</v>
          </cell>
          <cell r="H112" t="str">
            <v>tab</v>
          </cell>
          <cell r="I112">
            <v>0.81199999999999994</v>
          </cell>
          <cell r="J112">
            <v>1</v>
          </cell>
          <cell r="K112" t="str">
            <v>1tab</v>
          </cell>
        </row>
        <row r="113">
          <cell r="C113" t="str">
            <v>MiconazoleOintment or Cream 2%</v>
          </cell>
          <cell r="D113">
            <v>15</v>
          </cell>
          <cell r="E113" t="str">
            <v>gm</v>
          </cell>
          <cell r="F113">
            <v>19.05</v>
          </cell>
          <cell r="G113">
            <v>1.27</v>
          </cell>
          <cell r="H113" t="str">
            <v>gm</v>
          </cell>
          <cell r="I113">
            <v>1.4732000000000001</v>
          </cell>
          <cell r="J113">
            <v>1</v>
          </cell>
          <cell r="K113" t="str">
            <v>1gm</v>
          </cell>
        </row>
        <row r="114">
          <cell r="C114" t="str">
            <v>MisoprostolTab. 200mcg</v>
          </cell>
          <cell r="E114" t="str">
            <v>tab</v>
          </cell>
          <cell r="G114">
            <v>19.4831</v>
          </cell>
          <cell r="H114" t="str">
            <v>tab</v>
          </cell>
          <cell r="I114">
            <v>22.600396</v>
          </cell>
          <cell r="J114">
            <v>1</v>
          </cell>
          <cell r="K114" t="str">
            <v>1tab</v>
          </cell>
        </row>
        <row r="115">
          <cell r="C115" t="str">
            <v>Nalidixic AcidTablets 250 mg, 500 mg</v>
          </cell>
          <cell r="D115">
            <v>3.15</v>
          </cell>
          <cell r="E115" t="str">
            <v>tab</v>
          </cell>
          <cell r="G115">
            <v>3.15</v>
          </cell>
          <cell r="H115" t="str">
            <v>tab</v>
          </cell>
          <cell r="I115">
            <v>3.6539999999999999</v>
          </cell>
          <cell r="J115">
            <v>1</v>
          </cell>
          <cell r="K115" t="str">
            <v>1tab</v>
          </cell>
        </row>
        <row r="116">
          <cell r="C116" t="str">
            <v>NaloxoneInj. 400mcg/ml</v>
          </cell>
          <cell r="G116">
            <v>61</v>
          </cell>
          <cell r="H116" t="str">
            <v>ml</v>
          </cell>
          <cell r="I116">
            <v>70.760000000000005</v>
          </cell>
          <cell r="J116">
            <v>1</v>
          </cell>
          <cell r="K116" t="str">
            <v>1ml</v>
          </cell>
        </row>
        <row r="117">
          <cell r="C117" t="str">
            <v>Neomycin +BacitracinOintment 5 mg + 500 IU</v>
          </cell>
          <cell r="D117">
            <v>15</v>
          </cell>
          <cell r="E117" t="str">
            <v>gm</v>
          </cell>
          <cell r="F117">
            <v>13</v>
          </cell>
          <cell r="G117">
            <v>4.3333333333333339</v>
          </cell>
          <cell r="H117" t="str">
            <v>gm</v>
          </cell>
          <cell r="I117">
            <v>5.0266666666666673</v>
          </cell>
          <cell r="J117">
            <v>5</v>
          </cell>
          <cell r="K117" t="str">
            <v>5gm</v>
          </cell>
        </row>
        <row r="118">
          <cell r="C118" t="str">
            <v>Norethisterone + ethinyl oestradiol Tab. 1mg + 35mcg</v>
          </cell>
          <cell r="E118" t="str">
            <v>tab</v>
          </cell>
          <cell r="I118">
            <v>0</v>
          </cell>
          <cell r="K118" t="str">
            <v/>
          </cell>
        </row>
        <row r="119">
          <cell r="C119" t="str">
            <v>Norethisterone enantate (8 weekly)Inj. 200mg/ml</v>
          </cell>
          <cell r="E119" t="str">
            <v>vial</v>
          </cell>
          <cell r="G119">
            <v>7</v>
          </cell>
          <cell r="H119" t="str">
            <v>vial</v>
          </cell>
          <cell r="I119">
            <v>8.120000000000001</v>
          </cell>
          <cell r="J119">
            <v>1</v>
          </cell>
          <cell r="K119" t="str">
            <v>1vial</v>
          </cell>
        </row>
        <row r="120">
          <cell r="C120" t="str">
            <v>NorfloxacinTablets 400 mg</v>
          </cell>
          <cell r="E120" t="str">
            <v>tab</v>
          </cell>
          <cell r="G120">
            <v>3</v>
          </cell>
          <cell r="H120" t="str">
            <v>tab</v>
          </cell>
          <cell r="I120">
            <v>3.48</v>
          </cell>
          <cell r="J120">
            <v>1</v>
          </cell>
          <cell r="K120" t="str">
            <v>1tab</v>
          </cell>
        </row>
        <row r="121">
          <cell r="C121" t="str">
            <v>NystatinOral drops100,000 iu/ml</v>
          </cell>
          <cell r="D121">
            <v>30</v>
          </cell>
          <cell r="E121" t="str">
            <v>ml</v>
          </cell>
          <cell r="F121">
            <v>63</v>
          </cell>
          <cell r="G121">
            <v>0.34883333333333333</v>
          </cell>
          <cell r="H121" t="str">
            <v>ml</v>
          </cell>
          <cell r="I121">
            <v>0.40464666666666665</v>
          </cell>
          <cell r="J121">
            <v>5</v>
          </cell>
          <cell r="K121" t="str">
            <v>5ml</v>
          </cell>
        </row>
        <row r="122">
          <cell r="C122" t="str">
            <v>NystatinTab 500,000 iu,</v>
          </cell>
          <cell r="E122" t="str">
            <v>tab</v>
          </cell>
          <cell r="G122">
            <v>3.1</v>
          </cell>
          <cell r="H122" t="str">
            <v>tab</v>
          </cell>
          <cell r="I122">
            <v>3.5960000000000001</v>
          </cell>
          <cell r="J122">
            <v>1</v>
          </cell>
          <cell r="K122" t="str">
            <v>1tab</v>
          </cell>
        </row>
        <row r="123">
          <cell r="C123" t="str">
            <v>OestradiolTab. 0.5mg</v>
          </cell>
          <cell r="I123">
            <v>0</v>
          </cell>
          <cell r="K123" t="str">
            <v/>
          </cell>
        </row>
        <row r="124">
          <cell r="C124" t="str">
            <v>OmeprazoleCap. 20mg</v>
          </cell>
          <cell r="G124">
            <v>0.75</v>
          </cell>
          <cell r="H124" t="str">
            <v>cap</v>
          </cell>
          <cell r="I124">
            <v>0.87</v>
          </cell>
          <cell r="J124">
            <v>1</v>
          </cell>
          <cell r="K124" t="str">
            <v>1cap</v>
          </cell>
        </row>
        <row r="125">
          <cell r="C125" t="str">
            <v>OPV</v>
          </cell>
          <cell r="G125">
            <v>14.105</v>
          </cell>
          <cell r="H125" t="str">
            <v>dose</v>
          </cell>
          <cell r="I125">
            <v>16.361800000000002</v>
          </cell>
          <cell r="J125">
            <v>1</v>
          </cell>
          <cell r="K125" t="str">
            <v>1dose</v>
          </cell>
        </row>
        <row r="126">
          <cell r="C126" t="str">
            <v>Oral rehydration salt, glucose-salt solutionDry mixture (reduceosmolarity / glucose 75 meq/ 1, Sodium 75 meq / 1, Chloride 65 meq / 1, Potassium 20 meq/ 1, Citrate 10 meq / 1) insachet for 1 liter of solution</v>
          </cell>
          <cell r="G126">
            <v>3.5</v>
          </cell>
          <cell r="H126" t="str">
            <v>pack</v>
          </cell>
          <cell r="I126">
            <v>4.0600000000000005</v>
          </cell>
          <cell r="J126">
            <v>1</v>
          </cell>
          <cell r="K126" t="str">
            <v>1pack</v>
          </cell>
        </row>
        <row r="127">
          <cell r="C127" t="str">
            <v>Oral rehydration salt, glucose-salt solutionDry mixture(WHO formula) in sachet for 1 liter of soln.</v>
          </cell>
          <cell r="D127">
            <v>20</v>
          </cell>
          <cell r="E127" t="str">
            <v>pack</v>
          </cell>
          <cell r="F127">
            <v>74</v>
          </cell>
          <cell r="G127">
            <v>3.7</v>
          </cell>
          <cell r="H127" t="str">
            <v>pack</v>
          </cell>
          <cell r="I127">
            <v>4.2919999999999998</v>
          </cell>
          <cell r="J127">
            <v>1</v>
          </cell>
          <cell r="K127" t="str">
            <v>1pack</v>
          </cell>
        </row>
        <row r="128">
          <cell r="C128" t="str">
            <v>OxytocinInj. 10IU/ml</v>
          </cell>
          <cell r="D128">
            <v>9</v>
          </cell>
          <cell r="E128" t="str">
            <v>vial</v>
          </cell>
          <cell r="G128">
            <v>9</v>
          </cell>
          <cell r="H128" t="str">
            <v>inj</v>
          </cell>
          <cell r="I128">
            <v>10.44</v>
          </cell>
          <cell r="J128">
            <v>1</v>
          </cell>
          <cell r="K128" t="str">
            <v>1inj</v>
          </cell>
        </row>
        <row r="129">
          <cell r="C129" t="str">
            <v xml:space="preserve">Pentavalent </v>
          </cell>
          <cell r="G129">
            <v>340</v>
          </cell>
          <cell r="H129" t="str">
            <v>dose</v>
          </cell>
          <cell r="I129">
            <v>394.4</v>
          </cell>
          <cell r="K129" t="str">
            <v>dose</v>
          </cell>
        </row>
        <row r="130">
          <cell r="C130" t="str">
            <v>Pneumococcal</v>
          </cell>
          <cell r="H130" t="str">
            <v>dose</v>
          </cell>
          <cell r="I130">
            <v>637</v>
          </cell>
          <cell r="J130">
            <v>1</v>
          </cell>
          <cell r="K130" t="str">
            <v>1dose</v>
          </cell>
        </row>
        <row r="131">
          <cell r="C131" t="str">
            <v>Permethrin Cream 2.5%</v>
          </cell>
          <cell r="D131">
            <v>100</v>
          </cell>
          <cell r="E131" t="str">
            <v>gm</v>
          </cell>
          <cell r="F131">
            <v>386.75</v>
          </cell>
          <cell r="G131">
            <v>3.8675000000000002</v>
          </cell>
          <cell r="H131" t="str">
            <v>gm</v>
          </cell>
          <cell r="I131">
            <v>4.4863</v>
          </cell>
          <cell r="J131">
            <v>1</v>
          </cell>
          <cell r="K131" t="str">
            <v>1gm</v>
          </cell>
        </row>
        <row r="132">
          <cell r="C132" t="str">
            <v>Polymixin B +Bacitracin ZincPolymyxin B Sulphate</v>
          </cell>
          <cell r="D132">
            <v>20</v>
          </cell>
          <cell r="E132" t="str">
            <v>gm</v>
          </cell>
          <cell r="F132">
            <v>40</v>
          </cell>
          <cell r="G132">
            <v>2</v>
          </cell>
          <cell r="H132" t="str">
            <v>gm</v>
          </cell>
          <cell r="I132">
            <v>2.3199999999999998</v>
          </cell>
          <cell r="J132">
            <v>1</v>
          </cell>
          <cell r="K132" t="str">
            <v>1gm</v>
          </cell>
        </row>
        <row r="133">
          <cell r="C133" t="str">
            <v>PolymyxinB + Bacitracin ZincEye oint. 10,000iu+500iu</v>
          </cell>
          <cell r="I133">
            <v>0</v>
          </cell>
          <cell r="K133" t="str">
            <v/>
          </cell>
        </row>
        <row r="134">
          <cell r="C134" t="str">
            <v>PolymyxinB+LignocaineHClEar Drops PolymyxinB 10,000iu+ Lignocaine HCl 50mg</v>
          </cell>
          <cell r="I134">
            <v>0</v>
          </cell>
          <cell r="K134" t="str">
            <v/>
          </cell>
        </row>
        <row r="135">
          <cell r="C135" t="str">
            <v>Povidone iodineSolution , 10%</v>
          </cell>
          <cell r="D135">
            <v>450</v>
          </cell>
          <cell r="E135" t="str">
            <v>ml</v>
          </cell>
          <cell r="F135">
            <v>128</v>
          </cell>
          <cell r="G135">
            <v>1.4222222222222223</v>
          </cell>
          <cell r="H135" t="str">
            <v>ml</v>
          </cell>
          <cell r="I135">
            <v>1.6497777777777778</v>
          </cell>
          <cell r="J135">
            <v>5</v>
          </cell>
          <cell r="K135" t="str">
            <v>5ml</v>
          </cell>
        </row>
        <row r="136">
          <cell r="C136" t="str">
            <v>Prednisolone tab 5 mg</v>
          </cell>
          <cell r="G136">
            <v>1.1000000000000001</v>
          </cell>
          <cell r="H136" t="str">
            <v>tab</v>
          </cell>
          <cell r="I136">
            <v>1.276</v>
          </cell>
          <cell r="J136">
            <v>1</v>
          </cell>
          <cell r="K136" t="str">
            <v>1tab</v>
          </cell>
        </row>
        <row r="137">
          <cell r="C137" t="str">
            <v>Primaquine Tab 5 mg</v>
          </cell>
          <cell r="E137" t="str">
            <v>tab</v>
          </cell>
          <cell r="G137">
            <v>1</v>
          </cell>
          <cell r="H137" t="str">
            <v>tab</v>
          </cell>
          <cell r="I137">
            <v>1.1599999999999999</v>
          </cell>
          <cell r="J137">
            <v>1</v>
          </cell>
          <cell r="K137" t="str">
            <v>1tab</v>
          </cell>
        </row>
        <row r="138">
          <cell r="C138" t="str">
            <v>PropranololTablet 40mg Strips/blister</v>
          </cell>
          <cell r="G138">
            <v>0.47</v>
          </cell>
          <cell r="H138" t="str">
            <v>tab</v>
          </cell>
          <cell r="I138">
            <v>0.54520000000000002</v>
          </cell>
          <cell r="J138">
            <v>1</v>
          </cell>
          <cell r="K138" t="str">
            <v>1tab</v>
          </cell>
        </row>
        <row r="139">
          <cell r="C139" t="str">
            <v>PyridoxineTab. 50mg</v>
          </cell>
          <cell r="G139">
            <v>1.5</v>
          </cell>
          <cell r="H139" t="str">
            <v>tab</v>
          </cell>
          <cell r="I139">
            <v>1.74</v>
          </cell>
          <cell r="J139">
            <v>1</v>
          </cell>
          <cell r="K139" t="str">
            <v>1tab</v>
          </cell>
        </row>
        <row r="140">
          <cell r="C140" t="str">
            <v>RanitidineTablets 150 mg</v>
          </cell>
          <cell r="D140">
            <v>20</v>
          </cell>
          <cell r="E140" t="str">
            <v>tab</v>
          </cell>
          <cell r="F140">
            <v>20</v>
          </cell>
          <cell r="G140">
            <v>1</v>
          </cell>
          <cell r="H140" t="str">
            <v>tab</v>
          </cell>
          <cell r="I140">
            <v>1.1599999999999999</v>
          </cell>
          <cell r="J140">
            <v>1</v>
          </cell>
          <cell r="K140" t="str">
            <v>1tab</v>
          </cell>
        </row>
        <row r="141">
          <cell r="C141" t="str">
            <v>Rifampacin + Isoniazide + Pyrazinamide+EthamutolTab.,150mg+75mg+400mg+275mg strip/blister</v>
          </cell>
          <cell r="E141" t="str">
            <v>tab</v>
          </cell>
          <cell r="G141">
            <v>6</v>
          </cell>
          <cell r="H141" t="str">
            <v>tab</v>
          </cell>
          <cell r="I141">
            <v>6.96</v>
          </cell>
          <cell r="J141">
            <v>1</v>
          </cell>
          <cell r="K141" t="str">
            <v>1tab</v>
          </cell>
        </row>
        <row r="142">
          <cell r="C142" t="str">
            <v>Rifampicin+IsoniazidTablet, 150 mg + 100 mg strip/blister</v>
          </cell>
          <cell r="E142" t="str">
            <v>tab</v>
          </cell>
          <cell r="G142">
            <v>2.5</v>
          </cell>
          <cell r="H142" t="str">
            <v>tab</v>
          </cell>
          <cell r="I142">
            <v>2.9</v>
          </cell>
          <cell r="J142">
            <v>1</v>
          </cell>
          <cell r="K142" t="str">
            <v>1tab</v>
          </cell>
        </row>
        <row r="143">
          <cell r="C143" t="str">
            <v>Rifampicin+IsoniazidTablet, 300 mg + 150 mg Strip/blister</v>
          </cell>
          <cell r="E143" t="str">
            <v>tab</v>
          </cell>
          <cell r="G143">
            <v>4.5</v>
          </cell>
          <cell r="H143" t="str">
            <v>tab</v>
          </cell>
          <cell r="I143">
            <v>5.22</v>
          </cell>
          <cell r="J143">
            <v>1</v>
          </cell>
          <cell r="K143" t="str">
            <v>1tab</v>
          </cell>
        </row>
        <row r="144">
          <cell r="C144" t="str">
            <v>Ringer's LactateInjectable solution 1000ml with IV set</v>
          </cell>
          <cell r="D144">
            <v>1000</v>
          </cell>
          <cell r="E144" t="str">
            <v>ml</v>
          </cell>
          <cell r="F144">
            <v>50</v>
          </cell>
          <cell r="G144">
            <v>50</v>
          </cell>
          <cell r="H144" t="str">
            <v>ml</v>
          </cell>
          <cell r="I144">
            <v>58</v>
          </cell>
          <cell r="J144">
            <v>1000</v>
          </cell>
          <cell r="K144" t="str">
            <v>1000ml</v>
          </cell>
        </row>
        <row r="145">
          <cell r="C145" t="str">
            <v>Ringer's LactateInjectable solution 500ml With IV set</v>
          </cell>
          <cell r="D145">
            <v>500</v>
          </cell>
          <cell r="E145" t="str">
            <v>ml</v>
          </cell>
          <cell r="F145">
            <v>35</v>
          </cell>
          <cell r="G145">
            <v>35</v>
          </cell>
          <cell r="H145" t="str">
            <v>ml</v>
          </cell>
          <cell r="I145">
            <v>40.6</v>
          </cell>
          <cell r="J145">
            <v>500</v>
          </cell>
          <cell r="K145" t="str">
            <v>500ml</v>
          </cell>
        </row>
        <row r="146">
          <cell r="C146" t="str">
            <v>SalbutamolRespirator solution, for use in nebulizers, 5mg (as sulfate)/ml</v>
          </cell>
          <cell r="D146">
            <v>20</v>
          </cell>
          <cell r="E146" t="str">
            <v>ml</v>
          </cell>
          <cell r="F146">
            <v>18</v>
          </cell>
          <cell r="G146">
            <v>0.9</v>
          </cell>
          <cell r="H146" t="str">
            <v>ml</v>
          </cell>
          <cell r="I146">
            <v>1.044</v>
          </cell>
          <cell r="J146">
            <v>1</v>
          </cell>
          <cell r="K146" t="str">
            <v>1ml</v>
          </cell>
        </row>
        <row r="147">
          <cell r="C147" t="str">
            <v xml:space="preserve">SalbutamolSyp. </v>
          </cell>
          <cell r="D147">
            <v>100</v>
          </cell>
          <cell r="E147" t="str">
            <v>ml</v>
          </cell>
          <cell r="F147">
            <v>52.779999999999994</v>
          </cell>
          <cell r="G147">
            <v>2.6389999999999998</v>
          </cell>
          <cell r="H147" t="str">
            <v>ml</v>
          </cell>
          <cell r="I147">
            <v>3.0612399999999997</v>
          </cell>
          <cell r="J147">
            <v>5</v>
          </cell>
          <cell r="K147" t="str">
            <v>5ml</v>
          </cell>
        </row>
        <row r="148">
          <cell r="C148" t="str">
            <v>SalbutamolTablet 4mg</v>
          </cell>
          <cell r="D148">
            <v>100</v>
          </cell>
          <cell r="E148" t="str">
            <v>tab</v>
          </cell>
          <cell r="F148">
            <v>23</v>
          </cell>
          <cell r="G148">
            <v>0.35</v>
          </cell>
          <cell r="H148" t="str">
            <v>tab</v>
          </cell>
          <cell r="I148">
            <v>0.40599999999999997</v>
          </cell>
          <cell r="J148">
            <v>1</v>
          </cell>
          <cell r="K148" t="str">
            <v>1tab</v>
          </cell>
        </row>
        <row r="149">
          <cell r="C149" t="str">
            <v>Silver sulphadiazene1% cream</v>
          </cell>
          <cell r="I149">
            <v>0</v>
          </cell>
          <cell r="K149" t="str">
            <v/>
          </cell>
        </row>
        <row r="150">
          <cell r="C150" t="str">
            <v>Soda glycerineEar drops</v>
          </cell>
          <cell r="D150">
            <v>10</v>
          </cell>
          <cell r="E150" t="str">
            <v>ml</v>
          </cell>
          <cell r="F150">
            <v>7.5</v>
          </cell>
          <cell r="G150">
            <v>0.75</v>
          </cell>
          <cell r="H150" t="str">
            <v>ml</v>
          </cell>
          <cell r="I150">
            <v>0.87</v>
          </cell>
          <cell r="J150">
            <v>1</v>
          </cell>
          <cell r="K150" t="str">
            <v>1ml</v>
          </cell>
        </row>
        <row r="151">
          <cell r="C151" t="str">
            <v>Sodium Bicarbonate</v>
          </cell>
          <cell r="D151">
            <v>20</v>
          </cell>
          <cell r="E151" t="str">
            <v>ml</v>
          </cell>
          <cell r="F151">
            <v>12</v>
          </cell>
          <cell r="G151">
            <v>12</v>
          </cell>
          <cell r="H151" t="str">
            <v>ml</v>
          </cell>
          <cell r="I151">
            <v>13.92</v>
          </cell>
          <cell r="J151">
            <v>20</v>
          </cell>
          <cell r="K151" t="str">
            <v>20ml</v>
          </cell>
        </row>
        <row r="152">
          <cell r="C152" t="str">
            <v>Sodium chlorideInjectable soln.0.9%isotonic1000ml</v>
          </cell>
          <cell r="D152">
            <v>1000</v>
          </cell>
          <cell r="E152" t="str">
            <v>ml</v>
          </cell>
          <cell r="F152">
            <v>36</v>
          </cell>
          <cell r="G152">
            <v>36</v>
          </cell>
          <cell r="H152" t="str">
            <v>ml</v>
          </cell>
          <cell r="I152">
            <v>41.76</v>
          </cell>
          <cell r="J152">
            <v>1000</v>
          </cell>
          <cell r="K152" t="str">
            <v>1000ml</v>
          </cell>
        </row>
        <row r="153">
          <cell r="C153" t="str">
            <v>Spironolactone 25mg tab</v>
          </cell>
          <cell r="G153">
            <v>3.04</v>
          </cell>
          <cell r="H153" t="str">
            <v>tab</v>
          </cell>
          <cell r="I153">
            <v>3.5264000000000002</v>
          </cell>
          <cell r="J153">
            <v>1</v>
          </cell>
          <cell r="K153" t="str">
            <v>1tab</v>
          </cell>
        </row>
        <row r="154">
          <cell r="C154" t="str">
            <v>StreptomycinPowder for injection, 1g (assulfate) in vial</v>
          </cell>
          <cell r="E154" t="str">
            <v>vial</v>
          </cell>
          <cell r="G154">
            <v>2.19</v>
          </cell>
          <cell r="H154" t="str">
            <v>inj</v>
          </cell>
          <cell r="I154">
            <v>2.5404</v>
          </cell>
          <cell r="J154">
            <v>1</v>
          </cell>
          <cell r="K154" t="str">
            <v>1inj</v>
          </cell>
        </row>
        <row r="155">
          <cell r="C155" t="str">
            <v>Sulfadoxin+PyrimethamineSyp. Sulfadoxin500mg+Pyrimethamine25mg/5ml</v>
          </cell>
          <cell r="D155">
            <v>15</v>
          </cell>
          <cell r="E155" t="str">
            <v>ml</v>
          </cell>
          <cell r="F155">
            <v>15</v>
          </cell>
          <cell r="G155">
            <v>5</v>
          </cell>
          <cell r="H155" t="str">
            <v>ml</v>
          </cell>
          <cell r="I155">
            <v>5.8</v>
          </cell>
          <cell r="J155">
            <v>5</v>
          </cell>
          <cell r="K155" t="str">
            <v>5ml</v>
          </cell>
        </row>
        <row r="156">
          <cell r="C156" t="str">
            <v>Sulfadoxin+PyrimethamineTab. Sulfadoxin500mg+Pyrimethamine25mg</v>
          </cell>
          <cell r="E156" t="str">
            <v>tab</v>
          </cell>
          <cell r="G156">
            <v>2.25</v>
          </cell>
          <cell r="H156" t="str">
            <v>tab</v>
          </cell>
          <cell r="I156">
            <v>2.61</v>
          </cell>
          <cell r="J156">
            <v>1</v>
          </cell>
          <cell r="K156" t="str">
            <v>1tab</v>
          </cell>
        </row>
        <row r="157">
          <cell r="C157" t="str">
            <v>Sulfamethoxazole + TrimethoprimOral suspension 200mg+40mg/5ml</v>
          </cell>
          <cell r="G157">
            <v>1.2</v>
          </cell>
          <cell r="H157" t="str">
            <v>ml</v>
          </cell>
          <cell r="I157">
            <v>1.3919999999999999</v>
          </cell>
          <cell r="J157">
            <v>5</v>
          </cell>
          <cell r="K157" t="str">
            <v>5ml</v>
          </cell>
        </row>
        <row r="158">
          <cell r="C158" t="str">
            <v>Sulfamethoxazole + TrimethoprimTablet, 400 mg + 80mg strip/blister</v>
          </cell>
          <cell r="D158">
            <v>10</v>
          </cell>
          <cell r="E158" t="str">
            <v>cap</v>
          </cell>
          <cell r="F158">
            <v>10</v>
          </cell>
          <cell r="G158">
            <v>1</v>
          </cell>
          <cell r="H158" t="str">
            <v>cap</v>
          </cell>
          <cell r="I158">
            <v>1.1599999999999999</v>
          </cell>
          <cell r="J158">
            <v>1</v>
          </cell>
          <cell r="K158" t="str">
            <v>1cap</v>
          </cell>
        </row>
        <row r="159">
          <cell r="C159" t="str">
            <v>SulphacetamideEye drops 10% in 10ml</v>
          </cell>
          <cell r="D159">
            <v>10</v>
          </cell>
          <cell r="E159" t="str">
            <v>ml</v>
          </cell>
          <cell r="F159">
            <v>17</v>
          </cell>
          <cell r="G159">
            <v>17</v>
          </cell>
          <cell r="H159" t="str">
            <v>ml</v>
          </cell>
          <cell r="I159">
            <v>19.72</v>
          </cell>
          <cell r="J159">
            <v>10</v>
          </cell>
          <cell r="K159" t="str">
            <v>10ml</v>
          </cell>
        </row>
        <row r="160">
          <cell r="C160" t="str">
            <v xml:space="preserve">Tetanus toxoid </v>
          </cell>
          <cell r="G160">
            <v>9</v>
          </cell>
          <cell r="H160" t="str">
            <v>dose</v>
          </cell>
          <cell r="I160">
            <v>10.44</v>
          </cell>
          <cell r="J160">
            <v>1</v>
          </cell>
          <cell r="K160" t="str">
            <v>1dose</v>
          </cell>
        </row>
        <row r="161">
          <cell r="C161" t="str">
            <v>Tetracycline Eye oint. 1%</v>
          </cell>
          <cell r="D161">
            <v>5</v>
          </cell>
          <cell r="E161" t="str">
            <v>g</v>
          </cell>
          <cell r="F161">
            <v>22</v>
          </cell>
          <cell r="G161">
            <v>2.2000000000000002</v>
          </cell>
          <cell r="H161" t="str">
            <v>mg</v>
          </cell>
          <cell r="I161">
            <v>2.552</v>
          </cell>
          <cell r="J161">
            <v>1</v>
          </cell>
          <cell r="K161" t="str">
            <v>1mg</v>
          </cell>
        </row>
        <row r="162">
          <cell r="C162" t="str">
            <v>Tetracycline Oint. 1%</v>
          </cell>
          <cell r="I162">
            <v>0</v>
          </cell>
          <cell r="K162" t="str">
            <v/>
          </cell>
        </row>
        <row r="163">
          <cell r="C163" t="str">
            <v>TetracyclineCapsules 250 mg</v>
          </cell>
          <cell r="G163">
            <v>1</v>
          </cell>
          <cell r="H163" t="str">
            <v>cap</v>
          </cell>
          <cell r="I163">
            <v>1.1599999999999999</v>
          </cell>
          <cell r="J163">
            <v>1</v>
          </cell>
          <cell r="K163" t="str">
            <v>1cap</v>
          </cell>
        </row>
        <row r="164">
          <cell r="C164" t="str">
            <v>TheophyllinTab.SR 350mg</v>
          </cell>
          <cell r="G164">
            <v>1.85</v>
          </cell>
          <cell r="H164" t="str">
            <v>tab</v>
          </cell>
          <cell r="I164">
            <v>2.1459999999999999</v>
          </cell>
          <cell r="J164">
            <v>1</v>
          </cell>
          <cell r="K164" t="str">
            <v>1tab</v>
          </cell>
        </row>
        <row r="165">
          <cell r="C165" t="str">
            <v xml:space="preserve">Tincture </v>
          </cell>
          <cell r="G165">
            <v>0.5</v>
          </cell>
          <cell r="H165" t="str">
            <v>ml</v>
          </cell>
          <cell r="I165">
            <v>0.57999999999999996</v>
          </cell>
          <cell r="J165">
            <v>1</v>
          </cell>
          <cell r="K165" t="str">
            <v>1ml</v>
          </cell>
        </row>
        <row r="166">
          <cell r="C166" t="str">
            <v>TinidazoleTablets 500 mg</v>
          </cell>
          <cell r="E166" t="str">
            <v>tab</v>
          </cell>
          <cell r="G166">
            <v>5</v>
          </cell>
          <cell r="H166" t="str">
            <v>tab</v>
          </cell>
          <cell r="I166">
            <v>5.8</v>
          </cell>
          <cell r="J166">
            <v>1</v>
          </cell>
          <cell r="K166" t="str">
            <v>1tab</v>
          </cell>
        </row>
        <row r="167">
          <cell r="C167" t="str">
            <v>TremadolInj. 100 mg</v>
          </cell>
          <cell r="I167">
            <v>0</v>
          </cell>
          <cell r="K167" t="str">
            <v/>
          </cell>
        </row>
        <row r="168">
          <cell r="C168" t="str">
            <v>TriprolidineHCl. +Pseudoephedrine HCl +Dextromethorphan HBr.Syrup 5ml</v>
          </cell>
          <cell r="D168">
            <v>100</v>
          </cell>
          <cell r="E168" t="str">
            <v>ml</v>
          </cell>
          <cell r="F168">
            <v>41.86</v>
          </cell>
          <cell r="G168">
            <v>2.093</v>
          </cell>
          <cell r="H168" t="str">
            <v>ml</v>
          </cell>
          <cell r="I168">
            <v>2.42788</v>
          </cell>
          <cell r="J168">
            <v>5</v>
          </cell>
          <cell r="K168" t="str">
            <v>5ml</v>
          </cell>
        </row>
        <row r="169">
          <cell r="C169" t="str">
            <v>Vitamin ATab. 50,000iu</v>
          </cell>
          <cell r="G169">
            <v>1.53</v>
          </cell>
          <cell r="H169" t="str">
            <v>tab</v>
          </cell>
          <cell r="I169">
            <v>1.7747999999999999</v>
          </cell>
          <cell r="J169">
            <v>1</v>
          </cell>
          <cell r="K169" t="str">
            <v>1tab</v>
          </cell>
        </row>
        <row r="170">
          <cell r="C170" t="str">
            <v>Vitamin K. Injection 10mg per 1 ml</v>
          </cell>
          <cell r="G170">
            <v>2</v>
          </cell>
          <cell r="H170" t="str">
            <v>tab</v>
          </cell>
          <cell r="I170">
            <v>2.3199999999999998</v>
          </cell>
          <cell r="K170" t="str">
            <v>1 vial</v>
          </cell>
        </row>
        <row r="171">
          <cell r="C171" t="str">
            <v xml:space="preserve">Zinc sulphateSyp </v>
          </cell>
          <cell r="D171">
            <v>120</v>
          </cell>
          <cell r="E171" t="str">
            <v>ml</v>
          </cell>
          <cell r="F171">
            <v>177.45</v>
          </cell>
          <cell r="G171">
            <v>7.3937499999999998</v>
          </cell>
          <cell r="H171" t="str">
            <v>ml</v>
          </cell>
          <cell r="I171">
            <v>8.5767500000000005</v>
          </cell>
          <cell r="J171">
            <v>5</v>
          </cell>
          <cell r="K171" t="str">
            <v>5ml</v>
          </cell>
        </row>
        <row r="172">
          <cell r="C172" t="str">
            <v>Zinc sulphateTab 20mg</v>
          </cell>
          <cell r="G172">
            <v>2.1385000000000001</v>
          </cell>
          <cell r="H172" t="str">
            <v>tab</v>
          </cell>
          <cell r="I172">
            <v>2.4806600000000003</v>
          </cell>
          <cell r="J172">
            <v>1</v>
          </cell>
          <cell r="K172" t="str">
            <v>1tab</v>
          </cell>
        </row>
        <row r="173">
          <cell r="C173" t="str">
            <v>Condoms Male</v>
          </cell>
          <cell r="G173">
            <v>0.5</v>
          </cell>
          <cell r="I173">
            <v>0.57999999999999996</v>
          </cell>
          <cell r="K173" t="str">
            <v>1 piece</v>
          </cell>
        </row>
        <row r="174">
          <cell r="C174" t="str">
            <v>IUCDs- Copper T</v>
          </cell>
          <cell r="G174">
            <v>10</v>
          </cell>
          <cell r="I174">
            <v>11.6</v>
          </cell>
          <cell r="K174" t="str">
            <v>1 piece</v>
          </cell>
        </row>
        <row r="175">
          <cell r="C175" t="str">
            <v>Micronutrient Sachet</v>
          </cell>
          <cell r="G175">
            <v>2.8</v>
          </cell>
          <cell r="I175">
            <v>3.2479999999999998</v>
          </cell>
          <cell r="K175" t="str">
            <v>1 sachet</v>
          </cell>
        </row>
        <row r="176">
          <cell r="C176" t="str">
            <v>Benzyl Penicillin 1.2 MIU</v>
          </cell>
          <cell r="G176">
            <v>18</v>
          </cell>
          <cell r="I176">
            <v>20.88</v>
          </cell>
          <cell r="K176" t="str">
            <v>1 vial</v>
          </cell>
        </row>
        <row r="181">
          <cell r="C181" t="str">
            <v>Benzyl Penicillin</v>
          </cell>
        </row>
      </sheetData>
      <sheetData sheetId="43">
        <row r="8">
          <cell r="C8" t="str">
            <v>Absorbent cotton wool, 500 g</v>
          </cell>
          <cell r="D8">
            <v>209</v>
          </cell>
          <cell r="E8" t="str">
            <v>pack</v>
          </cell>
          <cell r="F8">
            <v>3</v>
          </cell>
          <cell r="G8">
            <v>3.3</v>
          </cell>
        </row>
        <row r="9">
          <cell r="C9" t="str">
            <v>Bandage gauze cotton, 10cm x 4m, with selvedge,</v>
          </cell>
          <cell r="D9">
            <v>50</v>
          </cell>
          <cell r="E9" t="str">
            <v>pack</v>
          </cell>
          <cell r="F9">
            <v>5</v>
          </cell>
          <cell r="G9">
            <v>5.5</v>
          </cell>
        </row>
        <row r="10">
          <cell r="C10" t="str">
            <v xml:space="preserve">Bandage, elastic cotton crepe, 7.5cm x 5m, roll </v>
          </cell>
          <cell r="D10">
            <v>17</v>
          </cell>
          <cell r="E10" t="str">
            <v>bandage</v>
          </cell>
          <cell r="F10">
            <v>17</v>
          </cell>
          <cell r="G10">
            <v>18.7</v>
          </cell>
        </row>
        <row r="11">
          <cell r="C11" t="str">
            <v>Chromic catgut sutures</v>
          </cell>
          <cell r="D11">
            <v>530</v>
          </cell>
          <cell r="E11" t="str">
            <v>dozen</v>
          </cell>
          <cell r="F11">
            <v>44.166666666666664</v>
          </cell>
          <cell r="G11">
            <v>48.583333333333329</v>
          </cell>
        </row>
        <row r="12">
          <cell r="C12" t="str">
            <v>Crepe elastic bandage 7.5cm x 5m, per (roll)</v>
          </cell>
          <cell r="D12">
            <v>35</v>
          </cell>
          <cell r="E12" t="str">
            <v>roll</v>
          </cell>
          <cell r="F12">
            <v>35</v>
          </cell>
          <cell r="G12">
            <v>38.5</v>
          </cell>
        </row>
        <row r="13">
          <cell r="C13" t="str">
            <v>Crepe elastic bandage, cotton (crepe) 5cm x 5 meter, roll</v>
          </cell>
          <cell r="G13">
            <v>0</v>
          </cell>
        </row>
        <row r="14">
          <cell r="C14" t="str">
            <v>Dexon</v>
          </cell>
          <cell r="G14">
            <v>0</v>
          </cell>
        </row>
        <row r="15">
          <cell r="C15" t="str">
            <v>Foley catheter sterile CH 18</v>
          </cell>
          <cell r="G15">
            <v>0</v>
          </cell>
        </row>
        <row r="16">
          <cell r="C16" t="str">
            <v>Foley catheter, sterile CH 10</v>
          </cell>
          <cell r="D16">
            <v>55</v>
          </cell>
          <cell r="E16" t="str">
            <v>foley</v>
          </cell>
          <cell r="F16">
            <v>55</v>
          </cell>
          <cell r="G16">
            <v>60.5</v>
          </cell>
        </row>
        <row r="17">
          <cell r="C17" t="str">
            <v>Foley catheter, sterile CH 12</v>
          </cell>
          <cell r="D17">
            <v>11</v>
          </cell>
          <cell r="E17" t="str">
            <v>foley</v>
          </cell>
          <cell r="F17">
            <v>11</v>
          </cell>
          <cell r="G17">
            <v>12.1</v>
          </cell>
        </row>
        <row r="18">
          <cell r="C18" t="str">
            <v>Foley catheter, sterile CH 14</v>
          </cell>
          <cell r="D18">
            <v>15</v>
          </cell>
          <cell r="E18" t="str">
            <v>foley</v>
          </cell>
          <cell r="F18">
            <v>15</v>
          </cell>
          <cell r="G18">
            <v>16.5</v>
          </cell>
        </row>
        <row r="19">
          <cell r="C19" t="str">
            <v>Foley catheter, sterile CH 16</v>
          </cell>
          <cell r="G19">
            <v>0</v>
          </cell>
        </row>
        <row r="20">
          <cell r="C20" t="str">
            <v>Gauze bandage 5cmx10m, absorbent wow</v>
          </cell>
          <cell r="G20">
            <v>0</v>
          </cell>
        </row>
        <row r="21">
          <cell r="C21" t="str">
            <v>Gauze pad / compress 10cm x 10cm, 12 ply sterile</v>
          </cell>
          <cell r="D21">
            <v>60</v>
          </cell>
          <cell r="E21" t="str">
            <v>pack</v>
          </cell>
          <cell r="F21">
            <v>3</v>
          </cell>
          <cell r="G21">
            <v>3.3</v>
          </cell>
        </row>
        <row r="22">
          <cell r="C22" t="str">
            <v>Gauze roll 90cm x 100M non-sterile, with selvedges, absorbent 100% cotton</v>
          </cell>
          <cell r="D22">
            <v>14</v>
          </cell>
          <cell r="E22" t="str">
            <v>mtr</v>
          </cell>
          <cell r="F22">
            <v>14</v>
          </cell>
          <cell r="G22">
            <v>15.4</v>
          </cell>
        </row>
        <row r="23">
          <cell r="C23" t="str">
            <v>Glove, examination, latex, non-sterile</v>
          </cell>
          <cell r="D23">
            <v>402</v>
          </cell>
          <cell r="E23" t="str">
            <v>box</v>
          </cell>
          <cell r="F23">
            <v>4.0199999999999996</v>
          </cell>
          <cell r="G23">
            <v>4.4219999999999997</v>
          </cell>
        </row>
        <row r="24">
          <cell r="C24" t="str">
            <v>IV Cannula, short, 20G (1.1x32mm)</v>
          </cell>
          <cell r="D24">
            <v>38.5</v>
          </cell>
          <cell r="E24" t="str">
            <v>cannula</v>
          </cell>
          <cell r="F24">
            <v>38.5</v>
          </cell>
          <cell r="G24">
            <v>42.35</v>
          </cell>
        </row>
        <row r="25">
          <cell r="C25" t="str">
            <v>IV Cannula, short, 22G (1.1x32mm)</v>
          </cell>
          <cell r="D25">
            <v>39.75</v>
          </cell>
          <cell r="E25" t="str">
            <v>cannula</v>
          </cell>
          <cell r="F25">
            <v>39.75</v>
          </cell>
          <cell r="G25">
            <v>43.725000000000001</v>
          </cell>
        </row>
        <row r="26">
          <cell r="C26" t="str">
            <v>IV Cannula, short, 24 G (1.1x32mm)</v>
          </cell>
          <cell r="D26">
            <v>55</v>
          </cell>
          <cell r="E26" t="str">
            <v>cannula</v>
          </cell>
          <cell r="F26">
            <v>55</v>
          </cell>
          <cell r="G26">
            <v>60.5</v>
          </cell>
        </row>
        <row r="27">
          <cell r="C27" t="str">
            <v>Needle disp 19G (1.1x40mm)</v>
          </cell>
          <cell r="D27">
            <v>106</v>
          </cell>
          <cell r="E27" t="str">
            <v>box</v>
          </cell>
          <cell r="F27">
            <v>1.06</v>
          </cell>
          <cell r="G27">
            <v>1.1660000000000001</v>
          </cell>
        </row>
        <row r="28">
          <cell r="C28" t="str">
            <v>Needle disp 21G (0.8x40mm)</v>
          </cell>
          <cell r="D28">
            <v>100</v>
          </cell>
          <cell r="E28" t="str">
            <v>box</v>
          </cell>
          <cell r="F28">
            <v>1</v>
          </cell>
          <cell r="G28">
            <v>1.1000000000000001</v>
          </cell>
        </row>
        <row r="29">
          <cell r="C29" t="str">
            <v>Needle disp 22G (0.7x30mm)</v>
          </cell>
          <cell r="D29">
            <v>131</v>
          </cell>
          <cell r="E29" t="str">
            <v>box</v>
          </cell>
          <cell r="F29">
            <v>1.31</v>
          </cell>
          <cell r="G29">
            <v>1.4410000000000001</v>
          </cell>
        </row>
        <row r="30">
          <cell r="C30" t="str">
            <v>Needle disp 23G (0.6x25mm)</v>
          </cell>
          <cell r="D30">
            <v>101</v>
          </cell>
          <cell r="E30" t="str">
            <v>box</v>
          </cell>
          <cell r="F30">
            <v>1.01</v>
          </cell>
          <cell r="G30">
            <v>1.111</v>
          </cell>
        </row>
        <row r="31">
          <cell r="C31" t="str">
            <v>Needle disp 25G (0.5x16mm)</v>
          </cell>
          <cell r="D31">
            <v>97</v>
          </cell>
          <cell r="E31" t="str">
            <v>box</v>
          </cell>
          <cell r="F31">
            <v>0.97</v>
          </cell>
          <cell r="G31">
            <v>1.0669999999999999</v>
          </cell>
        </row>
        <row r="32">
          <cell r="C32" t="str">
            <v>Needle Luer, IM, disposable, 21G (0.8x38mm)</v>
          </cell>
          <cell r="D32">
            <v>100</v>
          </cell>
          <cell r="E32" t="str">
            <v>box</v>
          </cell>
          <cell r="F32">
            <v>1</v>
          </cell>
          <cell r="G32">
            <v>1.1000000000000001</v>
          </cell>
        </row>
        <row r="33">
          <cell r="C33" t="str">
            <v>Needle, scalp vein infusion set, disposable, 25 G (0.5x19mm)</v>
          </cell>
          <cell r="D33">
            <v>236</v>
          </cell>
          <cell r="E33" t="str">
            <v>box</v>
          </cell>
          <cell r="F33">
            <v>4.72</v>
          </cell>
          <cell r="G33">
            <v>5.1920000000000002</v>
          </cell>
        </row>
        <row r="34">
          <cell r="C34" t="str">
            <v>Razor safety, stainless steel</v>
          </cell>
          <cell r="G34">
            <v>0</v>
          </cell>
        </row>
        <row r="35">
          <cell r="C35" t="str">
            <v>Silk braided</v>
          </cell>
          <cell r="D35">
            <v>320</v>
          </cell>
          <cell r="E35" t="str">
            <v>dozen</v>
          </cell>
          <cell r="F35">
            <v>26.666666666666668</v>
          </cell>
          <cell r="G35">
            <v>29.333333333333336</v>
          </cell>
        </row>
        <row r="36">
          <cell r="C36" t="str">
            <v>Suction tube CH 10, 50cm, sterile, disp, PVC</v>
          </cell>
          <cell r="D36">
            <v>12</v>
          </cell>
          <cell r="F36">
            <v>12</v>
          </cell>
          <cell r="G36">
            <v>13.2</v>
          </cell>
        </row>
        <row r="37">
          <cell r="C37" t="str">
            <v>Suction tube CH 14, 50cm, sterile, disp, PVC</v>
          </cell>
          <cell r="D37">
            <v>12</v>
          </cell>
          <cell r="F37">
            <v>12</v>
          </cell>
          <cell r="G37">
            <v>13.2</v>
          </cell>
        </row>
        <row r="38">
          <cell r="C38" t="str">
            <v>Suction tube CH 16, 50cm, sterile, disp, PVC</v>
          </cell>
          <cell r="D38">
            <v>12</v>
          </cell>
          <cell r="F38">
            <v>12</v>
          </cell>
          <cell r="G38">
            <v>13.2</v>
          </cell>
        </row>
        <row r="39">
          <cell r="C39" t="str">
            <v>Suction tube CH 8, 50cm, sterile, disp, PVC</v>
          </cell>
          <cell r="D39">
            <v>11</v>
          </cell>
          <cell r="F39">
            <v>11</v>
          </cell>
          <cell r="G39">
            <v>12.1</v>
          </cell>
        </row>
        <row r="40">
          <cell r="C40" t="str">
            <v>Syringe 10 ml with needle</v>
          </cell>
          <cell r="D40">
            <v>400</v>
          </cell>
          <cell r="E40" t="str">
            <v>box</v>
          </cell>
          <cell r="F40">
            <v>4</v>
          </cell>
          <cell r="G40">
            <v>4.4000000000000004</v>
          </cell>
        </row>
        <row r="41">
          <cell r="C41" t="str">
            <v>Syringe 50/60cc, Luer lock sterile disp, concentric tip</v>
          </cell>
          <cell r="G41">
            <v>0</v>
          </cell>
        </row>
        <row r="42">
          <cell r="C42" t="str">
            <v>Syringe 5cc, Luer, sterile disposable, two piece (P/P or PEF)</v>
          </cell>
          <cell r="G42">
            <v>0</v>
          </cell>
        </row>
        <row r="43">
          <cell r="C43" t="str">
            <v>Syringe, 5 ml, with needle</v>
          </cell>
          <cell r="D43">
            <v>318</v>
          </cell>
          <cell r="E43" t="str">
            <v>box</v>
          </cell>
          <cell r="F43">
            <v>3.18</v>
          </cell>
          <cell r="G43">
            <v>3.4980000000000002</v>
          </cell>
        </row>
        <row r="44">
          <cell r="C44" t="str">
            <v xml:space="preserve">Tape adhesive, Zinc Oxide, </v>
          </cell>
          <cell r="D44">
            <v>30.2</v>
          </cell>
          <cell r="E44" t="str">
            <v>roll</v>
          </cell>
          <cell r="F44">
            <v>5</v>
          </cell>
          <cell r="G44">
            <v>5.5</v>
          </cell>
        </row>
        <row r="45">
          <cell r="C45" t="str">
            <v>Tongue depressor (wooden), disposable</v>
          </cell>
          <cell r="D45">
            <v>245</v>
          </cell>
          <cell r="E45" t="str">
            <v>box</v>
          </cell>
          <cell r="F45">
            <v>0.49</v>
          </cell>
          <cell r="G45">
            <v>0.53900000000000003</v>
          </cell>
        </row>
        <row r="46">
          <cell r="C46" t="str">
            <v>Vicryl</v>
          </cell>
          <cell r="D46">
            <v>1690</v>
          </cell>
          <cell r="E46" t="str">
            <v>dozen</v>
          </cell>
          <cell r="F46">
            <v>140.83333333333334</v>
          </cell>
          <cell r="G46">
            <v>154.91666666666669</v>
          </cell>
        </row>
        <row r="47">
          <cell r="C47" t="str">
            <v>Record</v>
          </cell>
          <cell r="F47">
            <v>4</v>
          </cell>
          <cell r="G47">
            <v>4.4000000000000004</v>
          </cell>
        </row>
        <row r="48">
          <cell r="C48" t="str">
            <v>Clean Delivery Kit</v>
          </cell>
          <cell r="F48">
            <v>50</v>
          </cell>
          <cell r="G48">
            <v>55</v>
          </cell>
        </row>
        <row r="49">
          <cell r="C49" t="str">
            <v>Syringe for immunisation</v>
          </cell>
          <cell r="F49">
            <v>4.5</v>
          </cell>
          <cell r="G49">
            <v>4.95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</sheetData>
      <sheetData sheetId="44">
        <row r="6">
          <cell r="H6" t="str">
            <v>Hemoglobin</v>
          </cell>
          <cell r="I6">
            <v>5</v>
          </cell>
        </row>
        <row r="7">
          <cell r="H7" t="str">
            <v>Red and white blood cell count</v>
          </cell>
          <cell r="I7">
            <v>1.5</v>
          </cell>
        </row>
        <row r="8">
          <cell r="H8" t="str">
            <v>Differential cell count</v>
          </cell>
          <cell r="I8">
            <v>4</v>
          </cell>
        </row>
        <row r="9">
          <cell r="H9" t="str">
            <v>ESR</v>
          </cell>
          <cell r="I9">
            <v>5</v>
          </cell>
        </row>
        <row r="10">
          <cell r="H10" t="str">
            <v>Hematocrit</v>
          </cell>
          <cell r="I10">
            <v>0</v>
          </cell>
        </row>
        <row r="11">
          <cell r="H11" t="str">
            <v>Malaria parasite smear (MPS)</v>
          </cell>
          <cell r="I11">
            <v>5</v>
          </cell>
        </row>
        <row r="12">
          <cell r="H12" t="str">
            <v>Bleeding time and coagulation time</v>
          </cell>
          <cell r="I12">
            <v>2</v>
          </cell>
        </row>
        <row r="13">
          <cell r="H13" t="str">
            <v>Blood grouping and Rh factors</v>
          </cell>
          <cell r="I13">
            <v>5</v>
          </cell>
        </row>
        <row r="14">
          <cell r="H14" t="str">
            <v xml:space="preserve">Hepatitis B </v>
          </cell>
          <cell r="I14">
            <v>14</v>
          </cell>
        </row>
        <row r="15">
          <cell r="H15" t="str">
            <v>Hepatitis C</v>
          </cell>
          <cell r="I15">
            <v>24</v>
          </cell>
        </row>
        <row r="16">
          <cell r="H16" t="str">
            <v>Syphilis</v>
          </cell>
          <cell r="I16">
            <v>30</v>
          </cell>
        </row>
        <row r="17">
          <cell r="H17" t="str">
            <v>HIV test</v>
          </cell>
          <cell r="I17">
            <v>50</v>
          </cell>
        </row>
        <row r="19">
          <cell r="H19" t="str">
            <v>Ziehl-Nielsen staining for acid fast bacilli (AFB)</v>
          </cell>
          <cell r="I19">
            <v>6</v>
          </cell>
        </row>
        <row r="20">
          <cell r="H20" t="str">
            <v>Direct smear for AFB</v>
          </cell>
          <cell r="I20">
            <v>6</v>
          </cell>
        </row>
        <row r="21">
          <cell r="H21" t="str">
            <v>Gram’s staining</v>
          </cell>
          <cell r="I21">
            <v>6</v>
          </cell>
        </row>
        <row r="23">
          <cell r="H23" t="str">
            <v>Typhi dot</v>
          </cell>
          <cell r="I23">
            <v>80</v>
          </cell>
        </row>
        <row r="25">
          <cell r="H25" t="str">
            <v>Urine analysis: physical exam</v>
          </cell>
          <cell r="I25">
            <v>8.5</v>
          </cell>
        </row>
        <row r="30">
          <cell r="H30" t="str">
            <v>Microscopic (stool test)</v>
          </cell>
          <cell r="I30">
            <v>1.5</v>
          </cell>
        </row>
        <row r="31">
          <cell r="H31" t="str">
            <v>Macroscopic (stool test)</v>
          </cell>
          <cell r="I31">
            <v>2</v>
          </cell>
        </row>
        <row r="32">
          <cell r="H32" t="str">
            <v>Pregnancy test</v>
          </cell>
          <cell r="I32">
            <v>5</v>
          </cell>
        </row>
        <row r="34">
          <cell r="H34" t="str">
            <v>Blood-sugar test</v>
          </cell>
          <cell r="I34">
            <v>15</v>
          </cell>
        </row>
        <row r="35">
          <cell r="H35" t="str">
            <v>Urea test</v>
          </cell>
          <cell r="I35">
            <v>12</v>
          </cell>
        </row>
        <row r="36">
          <cell r="H36" t="str">
            <v>Creatinine test</v>
          </cell>
          <cell r="I36">
            <v>16</v>
          </cell>
        </row>
        <row r="37">
          <cell r="H37" t="str">
            <v>Total protein test</v>
          </cell>
          <cell r="I37">
            <v>25</v>
          </cell>
        </row>
        <row r="38">
          <cell r="H38" t="str">
            <v>Simple liver-function test</v>
          </cell>
          <cell r="I38">
            <v>54</v>
          </cell>
        </row>
        <row r="39">
          <cell r="H39" t="str">
            <v>Brucellosis</v>
          </cell>
          <cell r="I39">
            <v>15</v>
          </cell>
        </row>
        <row r="41">
          <cell r="H41" t="str">
            <v>Body fluids</v>
          </cell>
          <cell r="I41">
            <v>5.5</v>
          </cell>
        </row>
        <row r="44">
          <cell r="H44" t="str">
            <v>X-Ray</v>
          </cell>
          <cell r="I44">
            <v>40</v>
          </cell>
        </row>
        <row r="45">
          <cell r="H45" t="str">
            <v>Abdomen</v>
          </cell>
          <cell r="I45">
            <v>40</v>
          </cell>
        </row>
        <row r="46">
          <cell r="H46" t="str">
            <v>Skeletal</v>
          </cell>
          <cell r="I46">
            <v>40</v>
          </cell>
        </row>
        <row r="47">
          <cell r="H47" t="str">
            <v>Ultrasound</v>
          </cell>
          <cell r="I47">
            <v>5</v>
          </cell>
        </row>
      </sheetData>
      <sheetData sheetId="45">
        <row r="32">
          <cell r="F32">
            <v>0.45538746526705776</v>
          </cell>
        </row>
      </sheetData>
      <sheetData sheetId="46"/>
      <sheetData sheetId="47">
        <row r="1">
          <cell r="C1">
            <v>1.25</v>
          </cell>
          <cell r="G1">
            <v>10000</v>
          </cell>
          <cell r="K1">
            <v>15000</v>
          </cell>
          <cell r="O1">
            <v>20000</v>
          </cell>
          <cell r="S1">
            <v>25000</v>
          </cell>
        </row>
      </sheetData>
      <sheetData sheetId="48">
        <row r="9">
          <cell r="C9">
            <v>67200000</v>
          </cell>
        </row>
        <row r="18">
          <cell r="E18">
            <v>0.14870477999999998</v>
          </cell>
        </row>
        <row r="20">
          <cell r="C20">
            <v>8467200</v>
          </cell>
          <cell r="E20">
            <v>0.126</v>
          </cell>
        </row>
        <row r="21">
          <cell r="E21">
            <v>2.3813999999999998E-2</v>
          </cell>
        </row>
        <row r="23">
          <cell r="E23">
            <v>2.7600000000000003E-2</v>
          </cell>
        </row>
        <row r="25">
          <cell r="C25">
            <v>58732800</v>
          </cell>
          <cell r="E25">
            <v>0.874</v>
          </cell>
        </row>
        <row r="26">
          <cell r="C26">
            <v>41664000</v>
          </cell>
          <cell r="E26">
            <v>0.62</v>
          </cell>
        </row>
        <row r="28">
          <cell r="C28">
            <v>1947456.0000000002</v>
          </cell>
          <cell r="E28">
            <v>2.8980000000000002E-2</v>
          </cell>
        </row>
      </sheetData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26"/>
  <sheetViews>
    <sheetView showGridLines="0" tabSelected="1" workbookViewId="0">
      <selection activeCell="K32" sqref="K32"/>
    </sheetView>
  </sheetViews>
  <sheetFormatPr defaultRowHeight="15" x14ac:dyDescent="0.25"/>
  <sheetData>
    <row r="2" spans="2:17" x14ac:dyDescent="0.25">
      <c r="B2" s="172" t="s">
        <v>700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2:17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2:17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2:17" x14ac:dyDescent="0.2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2:17" x14ac:dyDescent="0.2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2:17" x14ac:dyDescent="0.2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2:17" x14ac:dyDescent="0.2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2:17" x14ac:dyDescent="0.25"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2:17" x14ac:dyDescent="0.25"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17" x14ac:dyDescent="0.25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2:17" x14ac:dyDescent="0.25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2:17" x14ac:dyDescent="0.25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  <row r="14" spans="2:17" x14ac:dyDescent="0.25"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2:17" x14ac:dyDescent="0.25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2:17" x14ac:dyDescent="0.25"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2:17" x14ac:dyDescent="0.25"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2:17" x14ac:dyDescent="0.25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2:17" x14ac:dyDescent="0.25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</row>
    <row r="20" spans="2:17" x14ac:dyDescent="0.25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2:17" x14ac:dyDescent="0.2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</row>
    <row r="22" spans="2:17" x14ac:dyDescent="0.25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  <row r="23" spans="2:17" ht="18.75" x14ac:dyDescent="0.3">
      <c r="B23" s="173" t="s">
        <v>701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2:17" ht="18.75" x14ac:dyDescent="0.3">
      <c r="B24" s="173" t="s">
        <v>645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7" ht="18.75" x14ac:dyDescent="0.3">
      <c r="B25" s="173" t="s">
        <v>646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2:17" ht="18.75" x14ac:dyDescent="0.3">
      <c r="B26" s="173" t="s">
        <v>704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</sheetData>
  <sheetProtection algorithmName="SHA-512" hashValue="/h1L84ZqLi3mQNGLjl2pZHedCFXCu+BTQ67M1Llth5sTvtb1i0p5EBk/L42A2tseP2TP/EfQlX4/KGRv94QtPw==" saltValue="q6wH3BYD7DxqVgmMPhdCQw==" spinCount="100000" sheet="1" objects="1" scenarios="1"/>
  <mergeCells count="5">
    <mergeCell ref="B2:Q22"/>
    <mergeCell ref="B23:Q23"/>
    <mergeCell ref="B24:Q24"/>
    <mergeCell ref="B25:Q25"/>
    <mergeCell ref="B26:Q2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34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2" t="s">
        <v>4</v>
      </c>
      <c r="D5" s="162" t="s">
        <v>7</v>
      </c>
      <c r="E5" s="205"/>
      <c r="F5" s="207"/>
      <c r="G5" s="155" t="s">
        <v>8</v>
      </c>
      <c r="H5" s="155" t="s">
        <v>2</v>
      </c>
      <c r="I5" s="194"/>
    </row>
    <row r="6" spans="2:11" x14ac:dyDescent="0.25">
      <c r="B6" s="62" t="s">
        <v>304</v>
      </c>
      <c r="C6" s="63">
        <v>90</v>
      </c>
      <c r="D6" s="63">
        <v>1</v>
      </c>
      <c r="E6" s="63">
        <v>1</v>
      </c>
      <c r="F6" s="64">
        <v>1</v>
      </c>
      <c r="G6" s="65">
        <f>C6*D6*E6*F6</f>
        <v>90</v>
      </c>
      <c r="H6" s="66">
        <f>IF(G6=0,"",(VLOOKUP($B$6:$B$15,Drugs_list!$C$9:$K$172,7,FALSE)))</f>
        <v>1.8560000000000001</v>
      </c>
      <c r="I6" s="66">
        <f>IF(G6=0,"",(G6*H6))</f>
        <v>167.04000000000002</v>
      </c>
      <c r="K6" s="61" t="str">
        <f>VLOOKUP($B$6:$B$15,Drugs_list!$C$9:$K$172,9,FALSE)</f>
        <v>1capsule</v>
      </c>
    </row>
    <row r="7" spans="2:11" x14ac:dyDescent="0.25">
      <c r="B7" s="62"/>
      <c r="C7" s="63"/>
      <c r="D7" s="63"/>
      <c r="E7" s="6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6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50">
        <f>SUM(I6:I15)</f>
        <v>167.04000000000002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55" t="s">
        <v>1</v>
      </c>
      <c r="D20" s="155" t="s">
        <v>517</v>
      </c>
      <c r="E20" s="155" t="s">
        <v>159</v>
      </c>
      <c r="F20" s="155" t="s">
        <v>160</v>
      </c>
    </row>
    <row r="21" spans="2:6" x14ac:dyDescent="0.25">
      <c r="B21" s="62"/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0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55" t="s">
        <v>0</v>
      </c>
      <c r="C36" s="155" t="s">
        <v>1</v>
      </c>
      <c r="D36" s="155" t="s">
        <v>159</v>
      </c>
      <c r="E36" s="155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55" t="s">
        <v>160</v>
      </c>
    </row>
    <row r="50" spans="2:3" x14ac:dyDescent="0.25">
      <c r="B50" s="69" t="s">
        <v>508</v>
      </c>
      <c r="C50" s="70">
        <f>I16</f>
        <v>167.04000000000002</v>
      </c>
    </row>
    <row r="51" spans="2:3" x14ac:dyDescent="0.25">
      <c r="B51" s="69" t="s">
        <v>148</v>
      </c>
      <c r="C51" s="70">
        <f>F31</f>
        <v>0</v>
      </c>
    </row>
    <row r="52" spans="2:3" x14ac:dyDescent="0.25">
      <c r="B52" s="69" t="s">
        <v>563</v>
      </c>
      <c r="C52" s="70">
        <f>E47</f>
        <v>0</v>
      </c>
    </row>
    <row r="53" spans="2:3" x14ac:dyDescent="0.25">
      <c r="B53" s="149" t="s">
        <v>8</v>
      </c>
      <c r="C53" s="159">
        <f>SUM(C50:C52)</f>
        <v>167.04000000000002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519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7" t="s">
        <v>4</v>
      </c>
      <c r="D5" s="167" t="s">
        <v>7</v>
      </c>
      <c r="E5" s="205"/>
      <c r="F5" s="207"/>
      <c r="G5" s="166" t="s">
        <v>8</v>
      </c>
      <c r="H5" s="166" t="s">
        <v>2</v>
      </c>
      <c r="I5" s="194"/>
    </row>
    <row r="6" spans="2:11" x14ac:dyDescent="0.25">
      <c r="B6" s="62" t="s">
        <v>454</v>
      </c>
      <c r="C6" s="63">
        <v>1</v>
      </c>
      <c r="D6" s="63">
        <v>1</v>
      </c>
      <c r="E6" s="63">
        <v>1</v>
      </c>
      <c r="F6" s="64">
        <v>1</v>
      </c>
      <c r="G6" s="65">
        <f>C6*D6*E6*F6</f>
        <v>1</v>
      </c>
      <c r="H6" s="66">
        <f>IF(G6=0,"",(VLOOKUP($B$6:$B$15,[1]Drugs_list!$C$9:$K$172,7,FALSE)))</f>
        <v>2.552</v>
      </c>
      <c r="I6" s="66">
        <f>IF(G6=0,"",(G6*H6))</f>
        <v>2.552</v>
      </c>
      <c r="K6" s="61" t="str">
        <f>VLOOKUP($B$6:$B$15,[1]Drugs_list!$C$9:$K$172,9,FALSE)</f>
        <v>1mg</v>
      </c>
    </row>
    <row r="7" spans="2:11" x14ac:dyDescent="0.25">
      <c r="B7" s="62"/>
      <c r="C7" s="63"/>
      <c r="D7" s="63"/>
      <c r="E7" s="63"/>
      <c r="F7" s="64"/>
      <c r="G7" s="65">
        <f t="shared" ref="G7:G15" si="0">C7*D7*E7*F7</f>
        <v>0</v>
      </c>
      <c r="H7" s="66" t="str">
        <f>IF(G7=0,"",(VLOOKUP($B$6:$B$15,[1]Drugs_list!$C$9:$K$172,7,FALSE)))</f>
        <v/>
      </c>
      <c r="I7" s="66" t="str">
        <f t="shared" ref="I7:I15" si="1">IF(G7=0,"",(G7*H7))</f>
        <v/>
      </c>
      <c r="K7" s="61" t="e">
        <f>VLOOKUP($B$6:$B$15,[1]Drugs_list!$C$9:$K$172,9,FALSE)</f>
        <v>#N/A</v>
      </c>
    </row>
    <row r="8" spans="2:11" x14ac:dyDescent="0.25">
      <c r="B8" s="62"/>
      <c r="C8" s="63"/>
      <c r="D8" s="63"/>
      <c r="E8" s="63"/>
      <c r="F8" s="64"/>
      <c r="G8" s="65">
        <f t="shared" si="0"/>
        <v>0</v>
      </c>
      <c r="H8" s="66" t="str">
        <f>IF(G8=0,"",(VLOOKUP($B$6:$B$15,[1]Drugs_list!$C$9:$K$172,7,FALSE)))</f>
        <v/>
      </c>
      <c r="I8" s="66" t="str">
        <f t="shared" si="1"/>
        <v/>
      </c>
      <c r="K8" s="61" t="e">
        <f>VLOOKUP($B$6:$B$15,[1]Drugs_list!$C$9:$K$172,9,FALSE)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IF(G9=0,"",(VLOOKUP($B$6:$B$15,[1]Drugs_list!$C$9:$K$172,7,FALSE)))</f>
        <v/>
      </c>
      <c r="I9" s="66" t="str">
        <f t="shared" si="1"/>
        <v/>
      </c>
      <c r="K9" s="61" t="e">
        <f>VLOOKUP($B$6:$B$15,[1]Drugs_list!$C$9:$K$172,9,FALSE)</f>
        <v>#N/A</v>
      </c>
    </row>
    <row r="10" spans="2:11" x14ac:dyDescent="0.25">
      <c r="B10" s="127"/>
      <c r="C10" s="63"/>
      <c r="D10" s="63"/>
      <c r="E10" s="63"/>
      <c r="F10" s="64"/>
      <c r="G10" s="65">
        <f t="shared" si="0"/>
        <v>0</v>
      </c>
      <c r="H10" s="66" t="str">
        <f>IF(G10=0,"",(VLOOKUP($B$6:$B$15,[1]Drugs_list!$C$9:$K$172,7,FALSE)))</f>
        <v/>
      </c>
      <c r="I10" s="66" t="str">
        <f t="shared" si="1"/>
        <v/>
      </c>
      <c r="K10" s="61" t="e">
        <f>VLOOKUP($B$6:$B$15,[1]Drugs_list!$C$9:$K$172,9,FALSE)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IF(G11=0,"",(VLOOKUP($B$6:$B$15,[1]Drugs_list!$C$9:$K$172,7,FALSE)))</f>
        <v/>
      </c>
      <c r="I11" s="66" t="str">
        <f t="shared" si="1"/>
        <v/>
      </c>
      <c r="K11" s="61" t="e">
        <f>VLOOKUP($B$6:$B$15,[1]Drugs_list!$C$9:$K$172,9,FALSE)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IF(G12=0,"",(VLOOKUP($B$6:$B$15,[1]Drugs_list!$C$9:$K$172,7,FALSE)))</f>
        <v/>
      </c>
      <c r="I12" s="66" t="str">
        <f t="shared" si="1"/>
        <v/>
      </c>
      <c r="K12" s="61" t="e">
        <f>VLOOKUP($B$6:$B$15,[1]Drugs_list!$C$9:$K$172,9,FALSE)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IF(G13=0,"",(VLOOKUP($B$6:$B$15,[1]Drugs_list!$C$9:$K$172,7,FALSE)))</f>
        <v/>
      </c>
      <c r="I13" s="66" t="str">
        <f t="shared" si="1"/>
        <v/>
      </c>
      <c r="K13" s="61" t="e">
        <f>VLOOKUP($B$6:$B$15,[1]Drugs_list!$C$9:$K$172,9,FALSE)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IF(G14=0,"",(VLOOKUP($B$6:$B$15,[1]Drugs_list!$C$9:$K$172,7,FALSE)))</f>
        <v/>
      </c>
      <c r="I14" s="66" t="str">
        <f t="shared" si="1"/>
        <v/>
      </c>
      <c r="K14" s="61" t="e">
        <f>VLOOKUP($B$6:$B$15,[1]Drugs_list!$C$9:$K$172,9,FALSE)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IF(G15=0,"",(VLOOKUP($B$6:$B$15,[1]Drugs_list!$C$9:$K$172,7,FALSE)))</f>
        <v/>
      </c>
      <c r="I15" s="66" t="str">
        <f t="shared" si="1"/>
        <v/>
      </c>
      <c r="K15" s="61" t="e">
        <f>VLOOKUP($B$6:$B$15,[1]Drugs_list!$C$9:$K$172,9,FALSE)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50">
        <f>SUM(I6:I15)</f>
        <v>2.552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66" t="s">
        <v>1</v>
      </c>
      <c r="D20" s="166" t="s">
        <v>517</v>
      </c>
      <c r="E20" s="166" t="s">
        <v>159</v>
      </c>
      <c r="F20" s="166" t="s">
        <v>160</v>
      </c>
    </row>
    <row r="21" spans="2:6" x14ac:dyDescent="0.25">
      <c r="B21" s="62"/>
      <c r="C21" s="63"/>
      <c r="D21" s="64"/>
      <c r="E21" s="65" t="str">
        <f>IF(C21="","",(VLOOKUP($B$21:$B$30,[1]Supplies_list!$C$8:$G$64,5,FALSE)))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IF(C22="","",(VLOOKUP($B$21:$B$30,[1]Supplies_list!$C$8:$G$64,5,FALSE)))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 t="s">
        <v>306</v>
      </c>
      <c r="C23" s="63">
        <v>1</v>
      </c>
      <c r="D23" s="64">
        <v>1</v>
      </c>
      <c r="E23" s="65">
        <f>IF(C23="","",(VLOOKUP($B$21:$B$30,[1]Supplies_list!$C$8:$G$64,5,FALSE)))</f>
        <v>4.4000000000000004</v>
      </c>
      <c r="F23" s="65">
        <f t="shared" si="2"/>
        <v>4.4000000000000004</v>
      </c>
    </row>
    <row r="24" spans="2:6" x14ac:dyDescent="0.25">
      <c r="B24" s="62"/>
      <c r="C24" s="67"/>
      <c r="D24" s="68"/>
      <c r="E24" s="65" t="str">
        <f>IF(C24="","",(VLOOKUP($B$21:$B$30,[1]Supplies_list!$C$8:$G$64,5,FALSE)))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IF(C25="","",(VLOOKUP($B$21:$B$30,[1]Supplies_list!$C$8:$G$64,5,FALSE)))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IF(C26="","",(VLOOKUP($B$21:$B$30,[1]Supplies_list!$C$8:$G$64,5,FALSE)))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IF(C27="","",(VLOOKUP($B$21:$B$30,[1]Supplies_list!$C$8:$G$64,5,FALSE)))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IF(C28="","",(VLOOKUP($B$21:$B$30,[1]Supplies_list!$C$8:$G$64,5,FALSE)))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IF(C29="","",(VLOOKUP($B$21:$B$30,[1]Supplies_list!$C$8:$G$64,5,FALSE)))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IF(C30="","",(VLOOKUP($B$21:$B$30,[1]Supplies_list!$C$8:$G$64,5,FALSE)))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4.4000000000000004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66" t="s">
        <v>0</v>
      </c>
      <c r="C36" s="166" t="s">
        <v>1</v>
      </c>
      <c r="D36" s="166" t="s">
        <v>159</v>
      </c>
      <c r="E36" s="166" t="s">
        <v>160</v>
      </c>
    </row>
    <row r="37" spans="2:5" x14ac:dyDescent="0.25">
      <c r="B37" s="62"/>
      <c r="C37" s="63"/>
      <c r="D37" s="65" t="str">
        <f>IF(B37="","",(VLOOKUP($B$37:$B$46,[1]Lab_tests!$H$6:$I$47,2,FALSE)))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IF(B38="","",(VLOOKUP($B$37:$B$46,[1]Lab_tests!$H$6:$I$47,2,FALSE)))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IF(B39="","",(VLOOKUP($B$37:$B$46,[1]Lab_tests!$H$6:$I$47,2,FALSE)))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IF(B40="","",(VLOOKUP($B$37:$B$46,[1]Lab_tests!$H$6:$I$47,2,FALSE)))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IF(B41="","",(VLOOKUP($B$37:$B$46,[1]Lab_tests!$H$6:$I$47,2,FALSE)))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IF(B42="","",(VLOOKUP($B$37:$B$46,[1]Lab_tests!$H$6:$I$47,2,FALSE)))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IF(B43="","",(VLOOKUP($B$37:$B$46,[1]Lab_tests!$H$6:$I$47,2,FALSE)))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IF(B44="","",(VLOOKUP($B$37:$B$46,[1]Lab_tests!$H$6:$I$47,2,FALSE)))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IF(B45="","",(VLOOKUP($B$37:$B$46,[1]Lab_tests!$H$6:$I$47,2,FALSE)))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IF(B46="","",(VLOOKUP($B$37:$B$46,[1]Lab_tests!$H$6:$I$47,2,FALSE)))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66" t="s">
        <v>160</v>
      </c>
    </row>
    <row r="50" spans="2:3" x14ac:dyDescent="0.25">
      <c r="B50" s="69" t="s">
        <v>508</v>
      </c>
      <c r="C50" s="70">
        <f>I16</f>
        <v>2.552</v>
      </c>
    </row>
    <row r="51" spans="2:3" x14ac:dyDescent="0.25">
      <c r="B51" s="69" t="s">
        <v>148</v>
      </c>
      <c r="C51" s="70">
        <f>F31</f>
        <v>4.4000000000000004</v>
      </c>
    </row>
    <row r="52" spans="2:3" x14ac:dyDescent="0.25">
      <c r="B52" s="69" t="s">
        <v>563</v>
      </c>
      <c r="C52" s="70">
        <f>E47</f>
        <v>0</v>
      </c>
    </row>
    <row r="53" spans="2:3" x14ac:dyDescent="0.25">
      <c r="B53" s="149" t="s">
        <v>8</v>
      </c>
      <c r="C53" s="159">
        <f>SUM(C50:C52)</f>
        <v>6.952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[1]Drugs_list!#REF!</xm:f>
          </x14:formula1>
          <xm:sqref>B6:B15</xm:sqref>
        </x14:dataValidation>
        <x14:dataValidation type="list" allowBlank="1" showInputMessage="1" showErrorMessage="1">
          <x14:formula1>
            <xm:f>[1]Lab_tests!#REF!</xm:f>
          </x14:formula1>
          <xm:sqref>B37:B46</xm:sqref>
        </x14:dataValidation>
        <x14:dataValidation type="list" allowBlank="1" showInputMessage="1" showErrorMessage="1">
          <x14:formula1>
            <xm:f>[1]Supplies_list!#REF!</xm:f>
          </x14:formula1>
          <xm:sqref>B21:B30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520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2" t="s">
        <v>4</v>
      </c>
      <c r="D5" s="162" t="s">
        <v>7</v>
      </c>
      <c r="E5" s="205"/>
      <c r="F5" s="207"/>
      <c r="G5" s="147" t="s">
        <v>8</v>
      </c>
      <c r="H5" s="147" t="s">
        <v>2</v>
      </c>
      <c r="I5" s="194"/>
    </row>
    <row r="6" spans="2:11" ht="30" x14ac:dyDescent="0.25">
      <c r="B6" s="71" t="s">
        <v>424</v>
      </c>
      <c r="C6" s="74">
        <v>2</v>
      </c>
      <c r="D6" s="74">
        <v>2</v>
      </c>
      <c r="E6" s="75">
        <v>1</v>
      </c>
      <c r="F6" s="76">
        <v>1</v>
      </c>
      <c r="G6" s="77">
        <f>C6*D6*E6*F6</f>
        <v>4</v>
      </c>
      <c r="H6" s="78">
        <f>IF(G6=0,"",(VLOOKUP($B$6:$B$15,Drugs_list!$C$9:$K$172,7,FALSE)))</f>
        <v>4.2919999999999998</v>
      </c>
      <c r="I6" s="78">
        <f>IF(G6=0,"",(G6*H6))</f>
        <v>17.167999999999999</v>
      </c>
      <c r="K6" s="61" t="str">
        <f>VLOOKUP($B$6:$B$15,Drugs_list!$C$9:$K$172,9,FALSE)</f>
        <v>1pack</v>
      </c>
    </row>
    <row r="7" spans="2:11" x14ac:dyDescent="0.25">
      <c r="B7" s="62"/>
      <c r="C7" s="63"/>
      <c r="D7" s="63"/>
      <c r="E7" s="72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2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50">
        <f>SUM(I6:I15)</f>
        <v>17.167999999999999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47" t="s">
        <v>1</v>
      </c>
      <c r="D20" s="147" t="s">
        <v>517</v>
      </c>
      <c r="E20" s="147" t="s">
        <v>159</v>
      </c>
      <c r="F20" s="147" t="s">
        <v>160</v>
      </c>
    </row>
    <row r="21" spans="2:6" x14ac:dyDescent="0.25">
      <c r="B21" s="62" t="s">
        <v>306</v>
      </c>
      <c r="C21" s="63">
        <v>1</v>
      </c>
      <c r="D21" s="64">
        <v>1</v>
      </c>
      <c r="E21" s="65">
        <f>IF(C21="","",(VLOOKUP($B$21:$B$30,Supplies_list!$C$8:$G$64,5,FALSE)))</f>
        <v>4.4000000000000004</v>
      </c>
      <c r="F21" s="65">
        <f>IF(C21="","",(C21*D21*E21))</f>
        <v>4.4000000000000004</v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4.4000000000000004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47" t="s">
        <v>0</v>
      </c>
      <c r="C36" s="147" t="s">
        <v>1</v>
      </c>
      <c r="D36" s="147" t="s">
        <v>159</v>
      </c>
      <c r="E36" s="147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47" t="s">
        <v>160</v>
      </c>
    </row>
    <row r="50" spans="2:3" x14ac:dyDescent="0.25">
      <c r="B50" s="69" t="s">
        <v>508</v>
      </c>
      <c r="C50" s="70">
        <f>I16</f>
        <v>17.167999999999999</v>
      </c>
    </row>
    <row r="51" spans="2:3" x14ac:dyDescent="0.25">
      <c r="B51" s="69" t="s">
        <v>148</v>
      </c>
      <c r="C51" s="70">
        <f>F31</f>
        <v>4.4000000000000004</v>
      </c>
    </row>
    <row r="52" spans="2:3" x14ac:dyDescent="0.25">
      <c r="B52" s="69" t="s">
        <v>563</v>
      </c>
      <c r="C52" s="70">
        <f>E47</f>
        <v>0</v>
      </c>
    </row>
    <row r="53" spans="2:3" x14ac:dyDescent="0.25">
      <c r="B53" s="149" t="s">
        <v>8</v>
      </c>
      <c r="C53" s="159">
        <f>SUM(C50:C52)</f>
        <v>21.567999999999998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521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2" t="s">
        <v>4</v>
      </c>
      <c r="D5" s="162" t="s">
        <v>7</v>
      </c>
      <c r="E5" s="205"/>
      <c r="F5" s="207"/>
      <c r="G5" s="147" t="s">
        <v>8</v>
      </c>
      <c r="H5" s="147" t="s">
        <v>2</v>
      </c>
      <c r="I5" s="194"/>
    </row>
    <row r="6" spans="2:11" x14ac:dyDescent="0.25">
      <c r="B6" s="71" t="s">
        <v>311</v>
      </c>
      <c r="C6" s="63">
        <v>5</v>
      </c>
      <c r="D6" s="63">
        <v>4</v>
      </c>
      <c r="E6" s="72">
        <v>1</v>
      </c>
      <c r="F6" s="64">
        <v>1</v>
      </c>
      <c r="G6" s="65">
        <f>C6*D6*E6*F6</f>
        <v>20</v>
      </c>
      <c r="H6" s="66">
        <f>IF(G6=0,"",(VLOOKUP($B$6:$B$15,Drugs_list!$C$9:$K$172,7,FALSE)))</f>
        <v>0.87</v>
      </c>
      <c r="I6" s="66">
        <f>IF(G6=0,"",(G6*H6))</f>
        <v>17.399999999999999</v>
      </c>
      <c r="K6" s="61" t="str">
        <f>VLOOKUP($B$6:$B$15,Drugs_list!$C$9:$K$172,9,FALSE)</f>
        <v>5ml</v>
      </c>
    </row>
    <row r="7" spans="2:11" x14ac:dyDescent="0.25">
      <c r="B7" s="62"/>
      <c r="C7" s="63"/>
      <c r="D7" s="63"/>
      <c r="E7" s="72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2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63">
        <f>SUM(I6:I15)</f>
        <v>17.399999999999999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47" t="s">
        <v>1</v>
      </c>
      <c r="D20" s="147" t="s">
        <v>517</v>
      </c>
      <c r="E20" s="147" t="s">
        <v>159</v>
      </c>
      <c r="F20" s="147" t="s">
        <v>160</v>
      </c>
    </row>
    <row r="21" spans="2:6" x14ac:dyDescent="0.25">
      <c r="B21" s="62" t="s">
        <v>505</v>
      </c>
      <c r="C21" s="63">
        <v>1</v>
      </c>
      <c r="D21" s="64">
        <v>1</v>
      </c>
      <c r="E21" s="65">
        <f>IF(C21="","",(VLOOKUP($B$21:$B$30,Supplies_list!$C$8:$G$64,5,FALSE)))</f>
        <v>0.53900000000000003</v>
      </c>
      <c r="F21" s="65">
        <f>IF(C21="","",(C21*D21*E21))</f>
        <v>0.53900000000000003</v>
      </c>
    </row>
    <row r="22" spans="2:6" x14ac:dyDescent="0.25">
      <c r="B22" s="127" t="s">
        <v>306</v>
      </c>
      <c r="C22" s="63">
        <v>1</v>
      </c>
      <c r="D22" s="64">
        <v>1</v>
      </c>
      <c r="E22" s="65">
        <f>IF(C22="","",(VLOOKUP($B$21:$B$30,Supplies_list!$C$8:$G$64,5,FALSE)))</f>
        <v>4.4000000000000004</v>
      </c>
      <c r="F22" s="65">
        <f t="shared" ref="F22:F30" si="2">IF(C22="","",(C22*D22*E22))</f>
        <v>4.4000000000000004</v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4.9390000000000001</v>
      </c>
    </row>
    <row r="35" spans="2:6" ht="15.75" x14ac:dyDescent="0.25">
      <c r="B35" s="191" t="s">
        <v>163</v>
      </c>
      <c r="C35" s="191"/>
      <c r="D35" s="191"/>
      <c r="E35" s="191"/>
      <c r="F35" s="210"/>
    </row>
    <row r="36" spans="2:6" ht="20.25" customHeight="1" x14ac:dyDescent="0.25">
      <c r="B36" s="147" t="s">
        <v>0</v>
      </c>
      <c r="C36" s="147" t="s">
        <v>1</v>
      </c>
      <c r="D36" s="147" t="s">
        <v>517</v>
      </c>
      <c r="E36" s="147" t="s">
        <v>159</v>
      </c>
      <c r="F36" s="155" t="s">
        <v>160</v>
      </c>
    </row>
    <row r="37" spans="2:6" x14ac:dyDescent="0.25">
      <c r="B37" s="62"/>
      <c r="C37" s="63"/>
      <c r="D37" s="73"/>
      <c r="E37" s="65" t="str">
        <f>IF(C37="","",(VLOOKUP($B$37:$B$46,Lab_tests!$H$6:$I$47,2,FALSE)))</f>
        <v/>
      </c>
      <c r="F37" s="65" t="str">
        <f t="shared" ref="F37:F46" si="3">IF(C37="","",(C37*D37*E37))</f>
        <v/>
      </c>
    </row>
    <row r="38" spans="2:6" x14ac:dyDescent="0.25">
      <c r="B38" s="62"/>
      <c r="C38" s="63"/>
      <c r="D38" s="73"/>
      <c r="E38" s="65" t="str">
        <f>IF(B38="","",(VLOOKUP($B$37:$B$46,Lab_tests!$H$6:$I$47,2,FALSE)))</f>
        <v/>
      </c>
      <c r="F38" s="65" t="str">
        <f t="shared" si="3"/>
        <v/>
      </c>
    </row>
    <row r="39" spans="2:6" x14ac:dyDescent="0.25">
      <c r="B39" s="62"/>
      <c r="C39" s="63"/>
      <c r="D39" s="73"/>
      <c r="E39" s="65" t="str">
        <f>IF(B39="","",(VLOOKUP($B$37:$B$46,Lab_tests!$H$6:$I$47,2,FALSE)))</f>
        <v/>
      </c>
      <c r="F39" s="65" t="str">
        <f t="shared" si="3"/>
        <v/>
      </c>
    </row>
    <row r="40" spans="2:6" x14ac:dyDescent="0.25">
      <c r="B40" s="62"/>
      <c r="C40" s="63"/>
      <c r="D40" s="73"/>
      <c r="E40" s="65" t="str">
        <f>IF(B40="","",(VLOOKUP($B$37:$B$46,Lab_tests!$H$6:$I$47,2,FALSE)))</f>
        <v/>
      </c>
      <c r="F40" s="65" t="str">
        <f t="shared" si="3"/>
        <v/>
      </c>
    </row>
    <row r="41" spans="2:6" x14ac:dyDescent="0.25">
      <c r="B41" s="62"/>
      <c r="C41" s="63"/>
      <c r="D41" s="73"/>
      <c r="E41" s="65" t="str">
        <f>IF(B41="","",(VLOOKUP($B$37:$B$46,Lab_tests!$H$6:$I$47,2,FALSE)))</f>
        <v/>
      </c>
      <c r="F41" s="65" t="str">
        <f t="shared" si="3"/>
        <v/>
      </c>
    </row>
    <row r="42" spans="2:6" x14ac:dyDescent="0.25">
      <c r="B42" s="62"/>
      <c r="C42" s="63"/>
      <c r="D42" s="73"/>
      <c r="E42" s="65" t="str">
        <f>IF(B42="","",(VLOOKUP($B$37:$B$46,Lab_tests!$H$6:$I$47,2,FALSE)))</f>
        <v/>
      </c>
      <c r="F42" s="65" t="str">
        <f t="shared" si="3"/>
        <v/>
      </c>
    </row>
    <row r="43" spans="2:6" x14ac:dyDescent="0.25">
      <c r="B43" s="62"/>
      <c r="C43" s="63"/>
      <c r="D43" s="73"/>
      <c r="E43" s="65" t="str">
        <f>IF(B43="","",(VLOOKUP($B$37:$B$46,Lab_tests!$H$6:$I$47,2,FALSE)))</f>
        <v/>
      </c>
      <c r="F43" s="65" t="str">
        <f t="shared" si="3"/>
        <v/>
      </c>
    </row>
    <row r="44" spans="2:6" x14ac:dyDescent="0.25">
      <c r="B44" s="62"/>
      <c r="C44" s="63"/>
      <c r="D44" s="73"/>
      <c r="E44" s="65" t="str">
        <f>IF(B44="","",(VLOOKUP($B$37:$B$46,Lab_tests!$H$6:$I$47,2,FALSE)))</f>
        <v/>
      </c>
      <c r="F44" s="65" t="str">
        <f t="shared" si="3"/>
        <v/>
      </c>
    </row>
    <row r="45" spans="2:6" x14ac:dyDescent="0.25">
      <c r="B45" s="62"/>
      <c r="C45" s="63"/>
      <c r="D45" s="73"/>
      <c r="E45" s="65" t="str">
        <f>IF(B45="","",(VLOOKUP($B$37:$B$46,Lab_tests!$H$6:$I$47,2,FALSE)))</f>
        <v/>
      </c>
      <c r="F45" s="65" t="str">
        <f t="shared" si="3"/>
        <v/>
      </c>
    </row>
    <row r="46" spans="2:6" x14ac:dyDescent="0.25">
      <c r="B46" s="62"/>
      <c r="C46" s="63"/>
      <c r="D46" s="73"/>
      <c r="E46" s="65" t="str">
        <f>IF(B46="","",(VLOOKUP($B$37:$B$46,Lab_tests!$H$6:$I$47,2,FALSE)))</f>
        <v/>
      </c>
      <c r="F46" s="65" t="str">
        <f t="shared" si="3"/>
        <v/>
      </c>
    </row>
    <row r="47" spans="2:6" x14ac:dyDescent="0.25">
      <c r="B47" s="149" t="s">
        <v>8</v>
      </c>
      <c r="C47" s="156"/>
      <c r="D47" s="156"/>
      <c r="E47" s="156"/>
      <c r="F47" s="150">
        <f>SUM(F37:F43)</f>
        <v>0</v>
      </c>
    </row>
    <row r="49" spans="2:3" x14ac:dyDescent="0.25">
      <c r="B49" s="149" t="s">
        <v>0</v>
      </c>
      <c r="C49" s="147" t="s">
        <v>160</v>
      </c>
    </row>
    <row r="50" spans="2:3" x14ac:dyDescent="0.25">
      <c r="B50" s="69" t="s">
        <v>508</v>
      </c>
      <c r="C50" s="70">
        <f>I16</f>
        <v>17.399999999999999</v>
      </c>
    </row>
    <row r="51" spans="2:3" x14ac:dyDescent="0.25">
      <c r="B51" s="69" t="s">
        <v>148</v>
      </c>
      <c r="C51" s="70">
        <f>F31</f>
        <v>4.9390000000000001</v>
      </c>
    </row>
    <row r="52" spans="2:3" x14ac:dyDescent="0.25">
      <c r="B52" s="69" t="s">
        <v>563</v>
      </c>
      <c r="C52" s="70">
        <f>F47</f>
        <v>0</v>
      </c>
    </row>
    <row r="53" spans="2:3" x14ac:dyDescent="0.25">
      <c r="B53" s="149" t="s">
        <v>8</v>
      </c>
      <c r="C53" s="159">
        <f>SUM(C50:C52)</f>
        <v>22.338999999999999</v>
      </c>
    </row>
  </sheetData>
  <sheetProtection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528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2" t="s">
        <v>4</v>
      </c>
      <c r="D5" s="162" t="s">
        <v>7</v>
      </c>
      <c r="E5" s="205"/>
      <c r="F5" s="207"/>
      <c r="G5" s="147" t="s">
        <v>8</v>
      </c>
      <c r="H5" s="147" t="s">
        <v>2</v>
      </c>
      <c r="I5" s="194"/>
    </row>
    <row r="6" spans="2:11" x14ac:dyDescent="0.25">
      <c r="B6" s="71" t="s">
        <v>524</v>
      </c>
      <c r="C6" s="63">
        <v>1</v>
      </c>
      <c r="D6" s="63">
        <v>155</v>
      </c>
      <c r="E6" s="72">
        <v>1</v>
      </c>
      <c r="F6" s="64">
        <v>1</v>
      </c>
      <c r="G6" s="65">
        <f>C6*D6*E6*F6</f>
        <v>155</v>
      </c>
      <c r="H6" s="66">
        <f>IF(G6=0,"",(VLOOKUP($B$6:$B$15,Drugs_list!$C$9:$K$184,7,FALSE)))</f>
        <v>0.57999999999999996</v>
      </c>
      <c r="I6" s="66">
        <f>IF(G6=0,"",(G6*H6))</f>
        <v>89.899999999999991</v>
      </c>
      <c r="K6" s="61" t="e">
        <f>VLOOKUP($B$6:$B$15,Drugs_list!$C$9:$K$172,9,FALSE)</f>
        <v>#N/A</v>
      </c>
    </row>
    <row r="7" spans="2:11" x14ac:dyDescent="0.25">
      <c r="B7" s="62"/>
      <c r="C7" s="63"/>
      <c r="D7" s="63"/>
      <c r="E7" s="72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2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2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2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2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63">
        <f>SUM(I6:I15)</f>
        <v>89.899999999999991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47" t="s">
        <v>1</v>
      </c>
      <c r="D20" s="147" t="s">
        <v>517</v>
      </c>
      <c r="E20" s="147" t="s">
        <v>159</v>
      </c>
      <c r="F20" s="147" t="s">
        <v>160</v>
      </c>
    </row>
    <row r="21" spans="2:6" x14ac:dyDescent="0.25">
      <c r="B21" s="62" t="s">
        <v>306</v>
      </c>
      <c r="C21" s="63">
        <v>1</v>
      </c>
      <c r="D21" s="64">
        <v>1</v>
      </c>
      <c r="E21" s="65">
        <f>IF(C21="","",(VLOOKUP($B$21:$B$30,Supplies_list!$C$8:$G$64,5,FALSE)))</f>
        <v>4.4000000000000004</v>
      </c>
      <c r="F21" s="65">
        <f>IF(C21="","",(C21*D21*E21))</f>
        <v>4.4000000000000004</v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4.4000000000000004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47" t="s">
        <v>0</v>
      </c>
      <c r="C36" s="147" t="s">
        <v>1</v>
      </c>
      <c r="D36" s="147" t="s">
        <v>159</v>
      </c>
      <c r="E36" s="147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47" t="s">
        <v>160</v>
      </c>
    </row>
    <row r="50" spans="2:3" x14ac:dyDescent="0.25">
      <c r="B50" s="69" t="s">
        <v>508</v>
      </c>
      <c r="C50" s="70">
        <f>I16</f>
        <v>89.899999999999991</v>
      </c>
    </row>
    <row r="51" spans="2:3" x14ac:dyDescent="0.25">
      <c r="B51" s="69" t="s">
        <v>148</v>
      </c>
      <c r="C51" s="70">
        <f>F31</f>
        <v>4.4000000000000004</v>
      </c>
    </row>
    <row r="52" spans="2:3" x14ac:dyDescent="0.25">
      <c r="B52" s="69" t="s">
        <v>563</v>
      </c>
      <c r="C52" s="70">
        <f>F47</f>
        <v>0</v>
      </c>
    </row>
    <row r="53" spans="2:3" x14ac:dyDescent="0.25">
      <c r="B53" s="149" t="s">
        <v>8</v>
      </c>
      <c r="C53" s="159">
        <f>SUM(C50:C52)</f>
        <v>94.3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529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2" t="s">
        <v>4</v>
      </c>
      <c r="D5" s="162" t="s">
        <v>7</v>
      </c>
      <c r="E5" s="205"/>
      <c r="F5" s="207"/>
      <c r="G5" s="147" t="s">
        <v>8</v>
      </c>
      <c r="H5" s="147" t="s">
        <v>2</v>
      </c>
      <c r="I5" s="194"/>
    </row>
    <row r="6" spans="2:11" x14ac:dyDescent="0.25">
      <c r="B6" s="71" t="s">
        <v>398</v>
      </c>
      <c r="C6" s="63">
        <v>1</v>
      </c>
      <c r="D6" s="63">
        <v>15</v>
      </c>
      <c r="E6" s="72">
        <v>1</v>
      </c>
      <c r="F6" s="64">
        <v>1</v>
      </c>
      <c r="G6" s="65">
        <f>C6*D6*E6*F6</f>
        <v>15</v>
      </c>
      <c r="H6" s="66">
        <f>IF(G6=0,"",(VLOOKUP($B$6:$B$15,Drugs_list!$C$9:$K$184,7,FALSE)))</f>
        <v>5.8</v>
      </c>
      <c r="I6" s="66">
        <f>IF(G6=0,"",(G6*H6))</f>
        <v>87</v>
      </c>
      <c r="K6" s="61" t="str">
        <f>VLOOKUP($B$6:$B$15,Drugs_list!$C$9:$K$172,9,FALSE)</f>
        <v>cycle</v>
      </c>
    </row>
    <row r="7" spans="2:11" x14ac:dyDescent="0.25">
      <c r="B7" s="62"/>
      <c r="C7" s="63"/>
      <c r="D7" s="63"/>
      <c r="E7" s="72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2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2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2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2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63">
        <f>SUM(I6:I15)</f>
        <v>87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47" t="s">
        <v>1</v>
      </c>
      <c r="D20" s="147" t="s">
        <v>517</v>
      </c>
      <c r="E20" s="147" t="s">
        <v>159</v>
      </c>
      <c r="F20" s="147" t="s">
        <v>160</v>
      </c>
    </row>
    <row r="21" spans="2:6" x14ac:dyDescent="0.25">
      <c r="B21" s="62" t="s">
        <v>306</v>
      </c>
      <c r="C21" s="63">
        <v>1</v>
      </c>
      <c r="D21" s="64">
        <v>1</v>
      </c>
      <c r="E21" s="65">
        <f>IF(C21="","",(VLOOKUP($B$21:$B$30,Supplies_list!$C$8:$G$64,5,FALSE)))</f>
        <v>4.4000000000000004</v>
      </c>
      <c r="F21" s="65">
        <f>IF(C21="","",(C21*D21*E21))</f>
        <v>4.4000000000000004</v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4.4000000000000004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47" t="s">
        <v>0</v>
      </c>
      <c r="C36" s="147" t="s">
        <v>1</v>
      </c>
      <c r="D36" s="147" t="s">
        <v>159</v>
      </c>
      <c r="E36" s="147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47" t="s">
        <v>160</v>
      </c>
    </row>
    <row r="50" spans="2:3" x14ac:dyDescent="0.25">
      <c r="B50" s="69" t="s">
        <v>508</v>
      </c>
      <c r="C50" s="70">
        <f>I16</f>
        <v>87</v>
      </c>
    </row>
    <row r="51" spans="2:3" x14ac:dyDescent="0.25">
      <c r="B51" s="69" t="s">
        <v>148</v>
      </c>
      <c r="C51" s="70">
        <f>F31</f>
        <v>4.4000000000000004</v>
      </c>
    </row>
    <row r="52" spans="2:3" x14ac:dyDescent="0.25">
      <c r="B52" s="69" t="s">
        <v>563</v>
      </c>
      <c r="C52" s="70">
        <f>E47</f>
        <v>0</v>
      </c>
    </row>
    <row r="53" spans="2:3" x14ac:dyDescent="0.25">
      <c r="B53" s="149" t="s">
        <v>8</v>
      </c>
      <c r="C53" s="159">
        <f>SUM(C50:C52)</f>
        <v>91.4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530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2" t="s">
        <v>4</v>
      </c>
      <c r="D5" s="162" t="s">
        <v>7</v>
      </c>
      <c r="E5" s="205"/>
      <c r="F5" s="207"/>
      <c r="G5" s="147" t="s">
        <v>8</v>
      </c>
      <c r="H5" s="147" t="s">
        <v>2</v>
      </c>
      <c r="I5" s="194"/>
    </row>
    <row r="6" spans="2:11" x14ac:dyDescent="0.25">
      <c r="B6" s="71" t="s">
        <v>404</v>
      </c>
      <c r="C6" s="63">
        <v>1</v>
      </c>
      <c r="D6" s="63">
        <v>4</v>
      </c>
      <c r="E6" s="72">
        <v>1</v>
      </c>
      <c r="F6" s="64">
        <v>1</v>
      </c>
      <c r="G6" s="65">
        <f>C6*D6*E6*F6</f>
        <v>4</v>
      </c>
      <c r="H6" s="66">
        <f>IF(G6=0,"",(VLOOKUP($B$6:$B$15,Drugs_list!$C$9:$K$184,7,FALSE)))</f>
        <v>8.120000000000001</v>
      </c>
      <c r="I6" s="66">
        <f>IF(G6=0,"",(G6*H6))</f>
        <v>32.480000000000004</v>
      </c>
      <c r="K6" s="61" t="str">
        <f>VLOOKUP($B$6:$B$15,Drugs_list!$C$9:$K$172,9,FALSE)</f>
        <v>1inj</v>
      </c>
    </row>
    <row r="7" spans="2:11" x14ac:dyDescent="0.25">
      <c r="B7" s="62"/>
      <c r="C7" s="63"/>
      <c r="D7" s="63"/>
      <c r="E7" s="72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2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2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2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2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63">
        <f>SUM(I6:I15)</f>
        <v>32.480000000000004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47" t="s">
        <v>1</v>
      </c>
      <c r="D20" s="147" t="s">
        <v>517</v>
      </c>
      <c r="E20" s="147" t="s">
        <v>159</v>
      </c>
      <c r="F20" s="147" t="s">
        <v>160</v>
      </c>
    </row>
    <row r="21" spans="2:6" x14ac:dyDescent="0.25">
      <c r="B21" s="62" t="s">
        <v>149</v>
      </c>
      <c r="C21" s="63">
        <v>4</v>
      </c>
      <c r="D21" s="64">
        <v>1</v>
      </c>
      <c r="E21" s="65">
        <f>IF(C21="","",(VLOOKUP($B$21:$B$30,Supplies_list!$C$8:$G$64,5,FALSE)))</f>
        <v>3.3</v>
      </c>
      <c r="F21" s="65">
        <f>IF(C21="","",(C21*D21*E21))</f>
        <v>13.2</v>
      </c>
    </row>
    <row r="22" spans="2:6" x14ac:dyDescent="0.25">
      <c r="B22" s="62" t="s">
        <v>647</v>
      </c>
      <c r="C22" s="63">
        <v>4</v>
      </c>
      <c r="D22" s="64">
        <v>1</v>
      </c>
      <c r="E22" s="65">
        <f>IF(C22="","",(VLOOKUP($B$21:$B$30,Supplies_list!$C$8:$G$64,5,FALSE)))</f>
        <v>3.4980000000000002</v>
      </c>
      <c r="F22" s="65">
        <f t="shared" ref="F22:F30" si="2">IF(C22="","",(C22*D22*E22))</f>
        <v>13.992000000000001</v>
      </c>
    </row>
    <row r="23" spans="2:6" x14ac:dyDescent="0.25">
      <c r="B23" s="62" t="s">
        <v>306</v>
      </c>
      <c r="C23" s="63">
        <v>1</v>
      </c>
      <c r="D23" s="64">
        <v>1</v>
      </c>
      <c r="E23" s="65">
        <f>IF(C23="","",(VLOOKUP($B$21:$B$30,Supplies_list!$C$8:$G$64,5,FALSE)))</f>
        <v>4.4000000000000004</v>
      </c>
      <c r="F23" s="65">
        <f t="shared" si="2"/>
        <v>4.4000000000000004</v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31.591999999999999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47" t="s">
        <v>0</v>
      </c>
      <c r="C36" s="147" t="s">
        <v>1</v>
      </c>
      <c r="D36" s="147" t="s">
        <v>159</v>
      </c>
      <c r="E36" s="147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47" t="s">
        <v>160</v>
      </c>
    </row>
    <row r="50" spans="2:3" x14ac:dyDescent="0.25">
      <c r="B50" s="69" t="s">
        <v>508</v>
      </c>
      <c r="C50" s="70">
        <f>I16</f>
        <v>32.480000000000004</v>
      </c>
    </row>
    <row r="51" spans="2:3" x14ac:dyDescent="0.25">
      <c r="B51" s="69" t="s">
        <v>148</v>
      </c>
      <c r="C51" s="70">
        <f>F31</f>
        <v>31.591999999999999</v>
      </c>
    </row>
    <row r="52" spans="2:3" x14ac:dyDescent="0.25">
      <c r="B52" s="69" t="s">
        <v>563</v>
      </c>
      <c r="C52" s="70">
        <f>E47</f>
        <v>0</v>
      </c>
    </row>
    <row r="53" spans="2:3" x14ac:dyDescent="0.25">
      <c r="B53" s="149" t="s">
        <v>8</v>
      </c>
      <c r="C53" s="159">
        <f>SUM(C50:C52)</f>
        <v>64.072000000000003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1:K53"/>
  <sheetViews>
    <sheetView showGridLines="0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530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7" t="s">
        <v>4</v>
      </c>
      <c r="D5" s="167" t="s">
        <v>7</v>
      </c>
      <c r="E5" s="205"/>
      <c r="F5" s="207"/>
      <c r="G5" s="166" t="s">
        <v>8</v>
      </c>
      <c r="H5" s="166" t="s">
        <v>2</v>
      </c>
      <c r="I5" s="194"/>
    </row>
    <row r="6" spans="2:11" x14ac:dyDescent="0.25">
      <c r="B6" s="71" t="s">
        <v>525</v>
      </c>
      <c r="C6" s="63">
        <v>1</v>
      </c>
      <c r="D6" s="63">
        <v>1</v>
      </c>
      <c r="E6" s="72">
        <v>1</v>
      </c>
      <c r="F6" s="64">
        <v>1</v>
      </c>
      <c r="G6" s="65">
        <f>C6*D6*E6*F6</f>
        <v>1</v>
      </c>
      <c r="H6" s="66">
        <f>IF(G6=0,"",(VLOOKUP($B$6:$B$15,[1]Drugs_list!$C$9:$K$184,7,FALSE)))</f>
        <v>11.6</v>
      </c>
      <c r="I6" s="66">
        <f>IF(G6=0,"",(G6*H6))</f>
        <v>11.6</v>
      </c>
      <c r="K6" s="61" t="e">
        <f>VLOOKUP($B$6:$B$15,[1]Drugs_list!$C$9:$K$172,9,FALSE)</f>
        <v>#N/A</v>
      </c>
    </row>
    <row r="7" spans="2:11" x14ac:dyDescent="0.25">
      <c r="B7" s="62" t="s">
        <v>431</v>
      </c>
      <c r="C7" s="63">
        <v>1</v>
      </c>
      <c r="D7" s="63">
        <v>1</v>
      </c>
      <c r="E7" s="72">
        <v>1</v>
      </c>
      <c r="F7" s="64">
        <v>1</v>
      </c>
      <c r="G7" s="65">
        <f t="shared" ref="G7:G15" si="0">C7*D7*E7*F7</f>
        <v>1</v>
      </c>
      <c r="H7" s="66">
        <f>IF(G7=0,"",(VLOOKUP($B$6:$B$15,[1]Drugs_list!$C$9:$K$172,7,FALSE)))</f>
        <v>1.6497777777777778</v>
      </c>
      <c r="I7" s="66">
        <f t="shared" ref="I7:I15" si="1">IF(G7=0,"",(G7*H7))</f>
        <v>1.6497777777777778</v>
      </c>
      <c r="K7" s="61" t="str">
        <f>VLOOKUP($B$6:$B$15,[1]Drugs_list!$C$9:$K$172,9,FALSE)</f>
        <v>5ml</v>
      </c>
    </row>
    <row r="8" spans="2:11" x14ac:dyDescent="0.25">
      <c r="B8" s="62"/>
      <c r="C8" s="63"/>
      <c r="D8" s="63"/>
      <c r="E8" s="72"/>
      <c r="F8" s="64"/>
      <c r="G8" s="65">
        <f t="shared" si="0"/>
        <v>0</v>
      </c>
      <c r="H8" s="66" t="str">
        <f>IF(G8=0,"",(VLOOKUP($B$6:$B$15,[1]Drugs_list!$C$9:$K$172,7,FALSE)))</f>
        <v/>
      </c>
      <c r="I8" s="66" t="str">
        <f t="shared" si="1"/>
        <v/>
      </c>
      <c r="K8" s="61" t="e">
        <f>VLOOKUP($B$6:$B$15,[1]Drugs_list!$C$9:$K$172,9,FALSE)</f>
        <v>#N/A</v>
      </c>
    </row>
    <row r="9" spans="2:11" x14ac:dyDescent="0.25">
      <c r="B9" s="62"/>
      <c r="C9" s="63"/>
      <c r="D9" s="63"/>
      <c r="E9" s="72"/>
      <c r="F9" s="64"/>
      <c r="G9" s="65">
        <f t="shared" si="0"/>
        <v>0</v>
      </c>
      <c r="H9" s="66" t="str">
        <f>IF(G9=0,"",(VLOOKUP($B$6:$B$15,[1]Drugs_list!$C$9:$K$172,7,FALSE)))</f>
        <v/>
      </c>
      <c r="I9" s="66" t="str">
        <f t="shared" si="1"/>
        <v/>
      </c>
      <c r="K9" s="61" t="e">
        <f>VLOOKUP($B$6:$B$15,[1]Drugs_list!$C$9:$K$172,9,FALSE)</f>
        <v>#N/A</v>
      </c>
    </row>
    <row r="10" spans="2:11" x14ac:dyDescent="0.25">
      <c r="B10" s="62"/>
      <c r="C10" s="63"/>
      <c r="D10" s="63"/>
      <c r="E10" s="72"/>
      <c r="F10" s="64"/>
      <c r="G10" s="65">
        <f t="shared" si="0"/>
        <v>0</v>
      </c>
      <c r="H10" s="66" t="str">
        <f>IF(G10=0,"",(VLOOKUP($B$6:$B$15,[1]Drugs_list!$C$9:$K$172,7,FALSE)))</f>
        <v/>
      </c>
      <c r="I10" s="66" t="str">
        <f t="shared" si="1"/>
        <v/>
      </c>
      <c r="K10" s="61" t="e">
        <f>VLOOKUP($B$6:$B$15,[1]Drugs_list!$C$9:$K$172,9,FALSE)</f>
        <v>#N/A</v>
      </c>
    </row>
    <row r="11" spans="2:11" x14ac:dyDescent="0.25">
      <c r="B11" s="62"/>
      <c r="C11" s="63"/>
      <c r="D11" s="63"/>
      <c r="E11" s="72"/>
      <c r="F11" s="64"/>
      <c r="G11" s="65">
        <f t="shared" si="0"/>
        <v>0</v>
      </c>
      <c r="H11" s="66" t="str">
        <f>IF(G11=0,"",(VLOOKUP($B$6:$B$15,[1]Drugs_list!$C$9:$K$172,7,FALSE)))</f>
        <v/>
      </c>
      <c r="I11" s="66" t="str">
        <f t="shared" si="1"/>
        <v/>
      </c>
      <c r="K11" s="61" t="e">
        <f>VLOOKUP($B$6:$B$15,[1]Drugs_list!$C$9:$K$172,9,FALSE)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IF(G12=0,"",(VLOOKUP($B$6:$B$15,[1]Drugs_list!$C$9:$K$172,7,FALSE)))</f>
        <v/>
      </c>
      <c r="I12" s="66" t="str">
        <f t="shared" si="1"/>
        <v/>
      </c>
      <c r="K12" s="61" t="e">
        <f>VLOOKUP($B$6:$B$15,[1]Drugs_list!$C$9:$K$172,9,FALSE)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IF(G13=0,"",(VLOOKUP($B$6:$B$15,[1]Drugs_list!$C$9:$K$172,7,FALSE)))</f>
        <v/>
      </c>
      <c r="I13" s="66" t="str">
        <f t="shared" si="1"/>
        <v/>
      </c>
      <c r="K13" s="61" t="e">
        <f>VLOOKUP($B$6:$B$15,[1]Drugs_list!$C$9:$K$172,9,FALSE)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IF(G14=0,"",(VLOOKUP($B$6:$B$15,[1]Drugs_list!$C$9:$K$172,7,FALSE)))</f>
        <v/>
      </c>
      <c r="I14" s="66" t="str">
        <f t="shared" si="1"/>
        <v/>
      </c>
      <c r="K14" s="61" t="e">
        <f>VLOOKUP($B$6:$B$15,[1]Drugs_list!$C$9:$K$172,9,FALSE)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IF(G15=0,"",(VLOOKUP($B$6:$B$15,[1]Drugs_list!$C$9:$K$172,7,FALSE)))</f>
        <v/>
      </c>
      <c r="I15" s="66" t="str">
        <f t="shared" si="1"/>
        <v/>
      </c>
      <c r="K15" s="61" t="e">
        <f>VLOOKUP($B$6:$B$15,[1]Drugs_list!$C$9:$K$172,9,FALSE)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63">
        <f>SUM(I6:I15)</f>
        <v>13.249777777777778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66" t="s">
        <v>1</v>
      </c>
      <c r="D20" s="166" t="s">
        <v>517</v>
      </c>
      <c r="E20" s="166" t="s">
        <v>159</v>
      </c>
      <c r="F20" s="166" t="s">
        <v>160</v>
      </c>
    </row>
    <row r="21" spans="2:6" x14ac:dyDescent="0.25">
      <c r="B21" s="62" t="s">
        <v>487</v>
      </c>
      <c r="C21" s="63">
        <v>2</v>
      </c>
      <c r="D21" s="64">
        <v>1</v>
      </c>
      <c r="E21" s="65">
        <f>IF(C21="","",(VLOOKUP($B$21:$B$30,[1]Supplies_list!$C$8:$G$64,5,FALSE)))</f>
        <v>4.4219999999999997</v>
      </c>
      <c r="F21" s="65">
        <f>IF(C21="","",(C21*D21*E21))</f>
        <v>8.8439999999999994</v>
      </c>
    </row>
    <row r="22" spans="2:6" x14ac:dyDescent="0.25">
      <c r="B22" s="62" t="s">
        <v>149</v>
      </c>
      <c r="C22" s="63">
        <v>1</v>
      </c>
      <c r="D22" s="64">
        <v>1</v>
      </c>
      <c r="E22" s="65">
        <f>IF(C22="","",(VLOOKUP($B$21:$B$30,[1]Supplies_list!$C$8:$G$64,5,FALSE)))</f>
        <v>3.3</v>
      </c>
      <c r="F22" s="65">
        <f t="shared" ref="F22:F30" si="2">IF(C22="","",(C22*D22*E22))</f>
        <v>3.3</v>
      </c>
    </row>
    <row r="23" spans="2:6" x14ac:dyDescent="0.25">
      <c r="B23" s="62" t="s">
        <v>306</v>
      </c>
      <c r="C23" s="63">
        <v>1</v>
      </c>
      <c r="D23" s="64">
        <v>1</v>
      </c>
      <c r="E23" s="65">
        <f>IF(C23="","",(VLOOKUP($B$21:$B$30,[1]Supplies_list!$C$8:$G$64,5,FALSE)))</f>
        <v>4.4000000000000004</v>
      </c>
      <c r="F23" s="65">
        <f t="shared" si="2"/>
        <v>4.4000000000000004</v>
      </c>
    </row>
    <row r="24" spans="2:6" x14ac:dyDescent="0.25">
      <c r="B24" s="62"/>
      <c r="C24" s="67"/>
      <c r="D24" s="68"/>
      <c r="E24" s="65" t="str">
        <f>IF(C24="","",(VLOOKUP($B$21:$B$30,[1]Supplies_list!$C$8:$G$64,5,FALSE)))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IF(C25="","",(VLOOKUP($B$21:$B$30,[1]Supplies_list!$C$8:$G$64,5,FALSE)))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IF(C26="","",(VLOOKUP($B$21:$B$30,[1]Supplies_list!$C$8:$G$64,5,FALSE)))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IF(C27="","",(VLOOKUP($B$21:$B$30,[1]Supplies_list!$C$8:$G$64,5,FALSE)))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IF(C28="","",(VLOOKUP($B$21:$B$30,[1]Supplies_list!$C$8:$G$64,5,FALSE)))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IF(C29="","",(VLOOKUP($B$21:$B$30,[1]Supplies_list!$C$8:$G$64,5,FALSE)))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IF(C30="","",(VLOOKUP($B$21:$B$30,[1]Supplies_list!$C$8:$G$64,5,FALSE)))</f>
        <v/>
      </c>
      <c r="F30" s="65" t="str">
        <f t="shared" si="2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16.543999999999997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66" t="s">
        <v>0</v>
      </c>
      <c r="C36" s="166" t="s">
        <v>1</v>
      </c>
      <c r="D36" s="166" t="s">
        <v>159</v>
      </c>
      <c r="E36" s="166" t="s">
        <v>160</v>
      </c>
    </row>
    <row r="37" spans="2:5" x14ac:dyDescent="0.25">
      <c r="B37" s="62" t="s">
        <v>210</v>
      </c>
      <c r="C37" s="63">
        <v>1</v>
      </c>
      <c r="D37" s="65">
        <f>IF(B37="","",(VLOOKUP($B$37:$B$46,[1]Lab_tests!$H$6:$I$47,2,FALSE)))</f>
        <v>5</v>
      </c>
      <c r="E37" s="65">
        <f>IF(C37=0,"",(C37*D37))</f>
        <v>5</v>
      </c>
    </row>
    <row r="38" spans="2:5" x14ac:dyDescent="0.25">
      <c r="B38" s="62"/>
      <c r="C38" s="63"/>
      <c r="D38" s="65" t="str">
        <f>IF(B38="","",(VLOOKUP($B$37:$B$46,[1]Lab_tests!$H$6:$I$47,2,FALSE)))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IF(B39="","",(VLOOKUP($B$37:$B$46,[1]Lab_tests!$H$6:$I$47,2,FALSE)))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IF(B40="","",(VLOOKUP($B$37:$B$46,[1]Lab_tests!$H$6:$I$47,2,FALSE)))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IF(B41="","",(VLOOKUP($B$37:$B$46,[1]Lab_tests!$H$6:$I$47,2,FALSE)))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IF(B42="","",(VLOOKUP($B$37:$B$46,[1]Lab_tests!$H$6:$I$47,2,FALSE)))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IF(B43="","",(VLOOKUP($B$37:$B$46,[1]Lab_tests!$H$6:$I$47,2,FALSE)))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IF(B44="","",(VLOOKUP($B$37:$B$46,[1]Lab_tests!$H$6:$I$47,2,FALSE)))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IF(B45="","",(VLOOKUP($B$37:$B$46,[1]Lab_tests!$H$6:$I$47,2,FALSE)))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IF(B46="","",(VLOOKUP($B$37:$B$46,[1]Lab_tests!$H$6:$I$47,2,FALSE)))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SUM(E37:E43)</f>
        <v>5</v>
      </c>
    </row>
    <row r="49" spans="2:3" x14ac:dyDescent="0.25">
      <c r="B49" s="149" t="s">
        <v>0</v>
      </c>
      <c r="C49" s="166" t="s">
        <v>160</v>
      </c>
    </row>
    <row r="50" spans="2:3" x14ac:dyDescent="0.25">
      <c r="B50" s="69" t="s">
        <v>508</v>
      </c>
      <c r="C50" s="70">
        <f>I16</f>
        <v>13.249777777777778</v>
      </c>
    </row>
    <row r="51" spans="2:3" x14ac:dyDescent="0.25">
      <c r="B51" s="69" t="s">
        <v>148</v>
      </c>
      <c r="C51" s="70">
        <f>F31</f>
        <v>16.543999999999997</v>
      </c>
    </row>
    <row r="52" spans="2:3" x14ac:dyDescent="0.25">
      <c r="B52" s="69" t="s">
        <v>563</v>
      </c>
      <c r="C52" s="70">
        <f>E47</f>
        <v>5</v>
      </c>
    </row>
    <row r="53" spans="2:3" x14ac:dyDescent="0.25">
      <c r="B53" s="149" t="s">
        <v>8</v>
      </c>
      <c r="C53" s="159">
        <f>SUM(C50:C52)</f>
        <v>34.793777777777777</v>
      </c>
    </row>
  </sheetData>
  <sheetProtection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[1]Drugs_list!#REF!</xm:f>
          </x14:formula1>
          <xm:sqref>B7:B15</xm:sqref>
        </x14:dataValidation>
        <x14:dataValidation type="list" allowBlank="1" showInputMessage="1" showErrorMessage="1">
          <x14:formula1>
            <xm:f>[1]Supplies_list!#REF!</xm:f>
          </x14:formula1>
          <xm:sqref>B21:B30</xm:sqref>
        </x14:dataValidation>
        <x14:dataValidation type="list" allowBlank="1" showInputMessage="1" showErrorMessage="1">
          <x14:formula1>
            <xm:f>[1]Lab_tests!#REF!</xm:f>
          </x14:formula1>
          <xm:sqref>B37:B46</xm:sqref>
        </x14:dataValidation>
        <x14:dataValidation type="list" allowBlank="1" showInputMessage="1" showErrorMessage="1">
          <x14:formula1>
            <xm:f>[1]Drugs_list!#REF!</xm:f>
          </x14:formula1>
          <xm:sqref>B6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H90"/>
  <sheetViews>
    <sheetView showGridLines="0" topLeftCell="B1" zoomScaleNormal="100" workbookViewId="0">
      <selection activeCell="D29" sqref="D29"/>
    </sheetView>
  </sheetViews>
  <sheetFormatPr defaultRowHeight="15" x14ac:dyDescent="0.25"/>
  <cols>
    <col min="1" max="1" width="22.85546875" style="61" hidden="1" customWidth="1"/>
    <col min="2" max="2" width="3.42578125" style="61" customWidth="1"/>
    <col min="3" max="3" width="36.5703125" style="61" bestFit="1" customWidth="1"/>
    <col min="4" max="4" width="11.28515625" style="61" bestFit="1" customWidth="1"/>
    <col min="5" max="5" width="8.42578125" style="61" customWidth="1"/>
    <col min="6" max="6" width="9.42578125" style="61" bestFit="1" customWidth="1"/>
    <col min="7" max="7" width="10.85546875" style="61" customWidth="1"/>
    <col min="8" max="8" width="0" style="61" hidden="1" customWidth="1"/>
    <col min="9" max="16384" width="9.140625" style="61"/>
  </cols>
  <sheetData>
    <row r="3" spans="1:8" ht="15" customHeight="1" x14ac:dyDescent="0.25">
      <c r="C3" s="211" t="s">
        <v>23</v>
      </c>
      <c r="D3" s="212"/>
      <c r="E3" s="213"/>
      <c r="F3" s="214"/>
      <c r="G3" s="214"/>
    </row>
    <row r="4" spans="1:8" x14ac:dyDescent="0.25">
      <c r="C4" s="211"/>
      <c r="D4" s="147" t="s">
        <v>678</v>
      </c>
      <c r="E4" s="147" t="s">
        <v>565</v>
      </c>
      <c r="F4" s="147" t="s">
        <v>678</v>
      </c>
      <c r="G4" s="147" t="s">
        <v>565</v>
      </c>
    </row>
    <row r="5" spans="1:8" x14ac:dyDescent="0.25">
      <c r="C5" s="65" t="s">
        <v>253</v>
      </c>
      <c r="D5" s="65">
        <v>80</v>
      </c>
      <c r="E5" s="152">
        <f t="shared" ref="E5:E24" si="0">SUM(D5:D5)</f>
        <v>80</v>
      </c>
      <c r="F5" s="80">
        <f>D5*Staff_cost!$I$6</f>
        <v>20</v>
      </c>
      <c r="G5" s="148">
        <f t="shared" ref="G5:G24" si="1">SUM(F5:F5)</f>
        <v>20</v>
      </c>
      <c r="H5" s="79" t="str">
        <f t="shared" ref="H5:H26" si="2">C5</f>
        <v>Antenatal Care (4 visits package)</v>
      </c>
    </row>
    <row r="6" spans="1:8" x14ac:dyDescent="0.25">
      <c r="C6" s="81" t="s">
        <v>31</v>
      </c>
      <c r="D6" s="65">
        <v>120</v>
      </c>
      <c r="E6" s="152"/>
      <c r="F6" s="80">
        <f>D6*Staff_cost!$I$6</f>
        <v>30</v>
      </c>
      <c r="G6" s="148">
        <f t="shared" ref="G6" si="3">SUM(F6:F6)</f>
        <v>30</v>
      </c>
      <c r="H6" s="79"/>
    </row>
    <row r="7" spans="1:8" x14ac:dyDescent="0.25">
      <c r="C7" s="65" t="s">
        <v>254</v>
      </c>
      <c r="D7" s="65">
        <v>45</v>
      </c>
      <c r="E7" s="152">
        <f t="shared" si="0"/>
        <v>45</v>
      </c>
      <c r="F7" s="80">
        <f>D7*Staff_cost!$I$6</f>
        <v>11.25</v>
      </c>
      <c r="G7" s="148">
        <f t="shared" si="1"/>
        <v>11.25</v>
      </c>
      <c r="H7" s="79" t="str">
        <f t="shared" si="2"/>
        <v>Postpartum Care (2 PNC visits)</v>
      </c>
    </row>
    <row r="8" spans="1:8" x14ac:dyDescent="0.25">
      <c r="A8" s="61" t="s">
        <v>260</v>
      </c>
      <c r="C8" s="65" t="s">
        <v>259</v>
      </c>
      <c r="D8" s="65">
        <v>15</v>
      </c>
      <c r="E8" s="152">
        <f t="shared" si="0"/>
        <v>15</v>
      </c>
      <c r="F8" s="80">
        <f>D8*Staff_cost!$I$6</f>
        <v>3.75</v>
      </c>
      <c r="G8" s="148">
        <f t="shared" si="1"/>
        <v>3.75</v>
      </c>
      <c r="H8" s="79" t="str">
        <f t="shared" si="2"/>
        <v>Child with cough</v>
      </c>
    </row>
    <row r="9" spans="1:8" x14ac:dyDescent="0.25">
      <c r="A9" s="61" t="s">
        <v>269</v>
      </c>
      <c r="C9" s="65" t="s">
        <v>272</v>
      </c>
      <c r="D9" s="65">
        <v>15</v>
      </c>
      <c r="E9" s="152">
        <f t="shared" si="0"/>
        <v>15</v>
      </c>
      <c r="F9" s="80">
        <f>D9*Staff_cost!$I$6</f>
        <v>3.75</v>
      </c>
      <c r="G9" s="148">
        <f t="shared" si="1"/>
        <v>3.75</v>
      </c>
      <c r="H9" s="79" t="str">
        <f t="shared" si="2"/>
        <v>Child with no dehydration</v>
      </c>
    </row>
    <row r="10" spans="1:8" x14ac:dyDescent="0.25">
      <c r="C10" s="65" t="s">
        <v>273</v>
      </c>
      <c r="D10" s="65">
        <v>15</v>
      </c>
      <c r="E10" s="152">
        <f t="shared" si="0"/>
        <v>15</v>
      </c>
      <c r="F10" s="80">
        <f>D10*Staff_cost!$I$6</f>
        <v>3.75</v>
      </c>
      <c r="G10" s="148">
        <f t="shared" si="1"/>
        <v>3.75</v>
      </c>
      <c r="H10" s="79" t="str">
        <f t="shared" si="2"/>
        <v>Child with some dehydration</v>
      </c>
    </row>
    <row r="11" spans="1:8" x14ac:dyDescent="0.25">
      <c r="C11" s="65" t="s">
        <v>274</v>
      </c>
      <c r="D11" s="65">
        <v>15</v>
      </c>
      <c r="E11" s="152">
        <f t="shared" si="0"/>
        <v>15</v>
      </c>
      <c r="F11" s="80">
        <f>D11*Staff_cost!$I$6</f>
        <v>3.75</v>
      </c>
      <c r="G11" s="148">
        <f t="shared" si="1"/>
        <v>3.75</v>
      </c>
      <c r="H11" s="79" t="str">
        <f t="shared" si="2"/>
        <v>Fever</v>
      </c>
    </row>
    <row r="12" spans="1:8" x14ac:dyDescent="0.25">
      <c r="A12" s="61" t="s">
        <v>58</v>
      </c>
      <c r="C12" s="65" t="s">
        <v>281</v>
      </c>
      <c r="D12" s="65">
        <v>30</v>
      </c>
      <c r="E12" s="152">
        <f t="shared" si="0"/>
        <v>30</v>
      </c>
      <c r="F12" s="80">
        <f>D12*Staff_cost!$I$6</f>
        <v>7.5</v>
      </c>
      <c r="G12" s="148">
        <f t="shared" si="1"/>
        <v>7.5</v>
      </c>
      <c r="H12" s="79" t="str">
        <f t="shared" si="2"/>
        <v>Injections: initial visit</v>
      </c>
    </row>
    <row r="13" spans="1:8" x14ac:dyDescent="0.25">
      <c r="C13" s="65" t="s">
        <v>280</v>
      </c>
      <c r="D13" s="65">
        <v>5</v>
      </c>
      <c r="E13" s="152">
        <f t="shared" si="0"/>
        <v>5</v>
      </c>
      <c r="F13" s="80">
        <f>D13*Staff_cost!$I$6</f>
        <v>1.25</v>
      </c>
      <c r="G13" s="148">
        <f t="shared" si="1"/>
        <v>1.25</v>
      </c>
      <c r="H13" s="79" t="str">
        <f t="shared" si="2"/>
        <v>Injections: follow-up visit</v>
      </c>
    </row>
    <row r="14" spans="1:8" x14ac:dyDescent="0.25">
      <c r="C14" s="65" t="s">
        <v>277</v>
      </c>
      <c r="D14" s="65">
        <v>30</v>
      </c>
      <c r="E14" s="152">
        <f t="shared" si="0"/>
        <v>30</v>
      </c>
      <c r="F14" s="80">
        <f>D14*Staff_cost!$I$6</f>
        <v>7.5</v>
      </c>
      <c r="G14" s="148">
        <f t="shared" si="1"/>
        <v>7.5</v>
      </c>
      <c r="H14" s="79" t="str">
        <f t="shared" si="2"/>
        <v>Oral Contraceptives: initial visit</v>
      </c>
    </row>
    <row r="15" spans="1:8" x14ac:dyDescent="0.25">
      <c r="C15" s="65" t="s">
        <v>276</v>
      </c>
      <c r="D15" s="65">
        <v>5</v>
      </c>
      <c r="E15" s="152">
        <f t="shared" si="0"/>
        <v>5</v>
      </c>
      <c r="F15" s="80">
        <f>D15*Staff_cost!$I$6</f>
        <v>1.25</v>
      </c>
      <c r="G15" s="148">
        <f t="shared" si="1"/>
        <v>1.25</v>
      </c>
      <c r="H15" s="79" t="str">
        <f t="shared" si="2"/>
        <v>Oral Contraceptives: follow-up visit</v>
      </c>
    </row>
    <row r="16" spans="1:8" x14ac:dyDescent="0.25">
      <c r="C16" s="65" t="s">
        <v>275</v>
      </c>
      <c r="D16" s="65">
        <v>20</v>
      </c>
      <c r="E16" s="152">
        <f t="shared" si="0"/>
        <v>20</v>
      </c>
      <c r="F16" s="80">
        <f>D16*Staff_cost!$I$6</f>
        <v>5</v>
      </c>
      <c r="G16" s="148">
        <f t="shared" si="1"/>
        <v>5</v>
      </c>
      <c r="H16" s="79" t="str">
        <f t="shared" si="2"/>
        <v>Condoms: initial visit</v>
      </c>
    </row>
    <row r="17" spans="1:8" x14ac:dyDescent="0.25">
      <c r="C17" s="65" t="s">
        <v>282</v>
      </c>
      <c r="D17" s="65">
        <v>2</v>
      </c>
      <c r="E17" s="152">
        <f t="shared" si="0"/>
        <v>2</v>
      </c>
      <c r="F17" s="80">
        <f>D17*Staff_cost!$I$6</f>
        <v>0.5</v>
      </c>
      <c r="G17" s="148">
        <f t="shared" si="1"/>
        <v>0.5</v>
      </c>
      <c r="H17" s="79" t="str">
        <f t="shared" si="2"/>
        <v>Condoms: follow-up visit</v>
      </c>
    </row>
    <row r="18" spans="1:8" x14ac:dyDescent="0.25">
      <c r="C18" s="81" t="s">
        <v>680</v>
      </c>
      <c r="D18" s="65">
        <v>50</v>
      </c>
      <c r="E18" s="152">
        <f t="shared" si="0"/>
        <v>50</v>
      </c>
      <c r="F18" s="80">
        <f>D18*Staff_cost!$I$6</f>
        <v>12.5</v>
      </c>
      <c r="G18" s="148">
        <f t="shared" si="1"/>
        <v>12.5</v>
      </c>
      <c r="H18" s="79" t="str">
        <f t="shared" si="2"/>
        <v>IUCD</v>
      </c>
    </row>
    <row r="19" spans="1:8" x14ac:dyDescent="0.25">
      <c r="A19" s="61" t="s">
        <v>283</v>
      </c>
      <c r="C19" s="65" t="s">
        <v>284</v>
      </c>
      <c r="D19" s="81">
        <f>4*4</f>
        <v>16</v>
      </c>
      <c r="E19" s="152">
        <f t="shared" si="0"/>
        <v>16</v>
      </c>
      <c r="F19" s="80">
        <f>D19*Staff_cost!$I$6</f>
        <v>4</v>
      </c>
      <c r="G19" s="148">
        <f t="shared" si="1"/>
        <v>4</v>
      </c>
      <c r="H19" s="79" t="str">
        <f t="shared" si="2"/>
        <v>Polio drops</v>
      </c>
    </row>
    <row r="20" spans="1:8" x14ac:dyDescent="0.25">
      <c r="C20" s="65" t="s">
        <v>285</v>
      </c>
      <c r="D20" s="81">
        <v>4</v>
      </c>
      <c r="E20" s="152">
        <f t="shared" si="0"/>
        <v>4</v>
      </c>
      <c r="F20" s="80">
        <f>D20*Staff_cost!$I$6</f>
        <v>1</v>
      </c>
      <c r="G20" s="148">
        <f t="shared" si="1"/>
        <v>1</v>
      </c>
      <c r="H20" s="79" t="str">
        <f t="shared" si="2"/>
        <v>Injection BCG</v>
      </c>
    </row>
    <row r="21" spans="1:8" x14ac:dyDescent="0.25">
      <c r="C21" s="65" t="s">
        <v>286</v>
      </c>
      <c r="D21" s="81">
        <f>4*3</f>
        <v>12</v>
      </c>
      <c r="E21" s="152">
        <f t="shared" si="0"/>
        <v>12</v>
      </c>
      <c r="F21" s="80">
        <f>D21*Staff_cost!$I$6</f>
        <v>3</v>
      </c>
      <c r="G21" s="148">
        <f t="shared" si="1"/>
        <v>3</v>
      </c>
      <c r="H21" s="79" t="str">
        <f t="shared" si="2"/>
        <v>Injection Pentavalent</v>
      </c>
    </row>
    <row r="22" spans="1:8" x14ac:dyDescent="0.25">
      <c r="C22" s="65" t="s">
        <v>287</v>
      </c>
      <c r="D22" s="81">
        <v>4</v>
      </c>
      <c r="E22" s="152">
        <f t="shared" si="0"/>
        <v>4</v>
      </c>
      <c r="F22" s="80">
        <f>D22*Staff_cost!$I$6</f>
        <v>1</v>
      </c>
      <c r="G22" s="148">
        <f t="shared" si="1"/>
        <v>1</v>
      </c>
      <c r="H22" s="79" t="str">
        <f t="shared" si="2"/>
        <v>Measles</v>
      </c>
    </row>
    <row r="23" spans="1:8" x14ac:dyDescent="0.25">
      <c r="C23" s="81" t="s">
        <v>522</v>
      </c>
      <c r="D23" s="81">
        <f>4*3</f>
        <v>12</v>
      </c>
      <c r="E23" s="152">
        <f t="shared" si="0"/>
        <v>12</v>
      </c>
      <c r="F23" s="80">
        <f>D23*Staff_cost!$I$6</f>
        <v>3</v>
      </c>
      <c r="G23" s="148">
        <f t="shared" si="1"/>
        <v>3</v>
      </c>
      <c r="H23" s="79" t="str">
        <f t="shared" si="2"/>
        <v>Pneumococcal</v>
      </c>
    </row>
    <row r="24" spans="1:8" x14ac:dyDescent="0.25">
      <c r="C24" s="81" t="s">
        <v>561</v>
      </c>
      <c r="D24" s="81">
        <v>4</v>
      </c>
      <c r="E24" s="152">
        <f t="shared" si="0"/>
        <v>4</v>
      </c>
      <c r="F24" s="80">
        <f>D24*Staff_cost!$I$6</f>
        <v>1</v>
      </c>
      <c r="G24" s="148">
        <f t="shared" si="1"/>
        <v>1</v>
      </c>
      <c r="H24" s="79" t="str">
        <f t="shared" si="2"/>
        <v>Hepatitus B</v>
      </c>
    </row>
    <row r="25" spans="1:8" x14ac:dyDescent="0.25">
      <c r="C25" s="65"/>
      <c r="D25" s="65"/>
      <c r="E25" s="152"/>
      <c r="F25" s="80">
        <f>D25*Staff_cost!$I$6</f>
        <v>0</v>
      </c>
      <c r="G25" s="148">
        <f t="shared" ref="G25:G26" si="4">SUM(F25:F25)</f>
        <v>0</v>
      </c>
      <c r="H25" s="79">
        <f t="shared" si="2"/>
        <v>0</v>
      </c>
    </row>
    <row r="26" spans="1:8" x14ac:dyDescent="0.25">
      <c r="A26" s="61" t="s">
        <v>288</v>
      </c>
      <c r="C26" s="65" t="s">
        <v>77</v>
      </c>
      <c r="D26" s="65">
        <v>20</v>
      </c>
      <c r="E26" s="152">
        <f>SUM(D26:D26)</f>
        <v>20</v>
      </c>
      <c r="F26" s="80">
        <f>D26*Staff_cost!$I$6</f>
        <v>5</v>
      </c>
      <c r="G26" s="148">
        <f t="shared" si="4"/>
        <v>5</v>
      </c>
      <c r="H26" s="79" t="str">
        <f t="shared" si="2"/>
        <v>Common cold and cough</v>
      </c>
    </row>
    <row r="27" spans="1:8" x14ac:dyDescent="0.25">
      <c r="C27" s="149"/>
      <c r="D27" s="149"/>
      <c r="E27" s="150">
        <f>SUM(E5:E26)</f>
        <v>399</v>
      </c>
      <c r="F27" s="151"/>
      <c r="G27" s="148"/>
    </row>
    <row r="28" spans="1:8" x14ac:dyDescent="0.25">
      <c r="D28" s="82"/>
      <c r="E28" s="82"/>
    </row>
    <row r="29" spans="1:8" x14ac:dyDescent="0.25">
      <c r="D29" s="82"/>
      <c r="E29" s="82"/>
    </row>
    <row r="30" spans="1:8" x14ac:dyDescent="0.25">
      <c r="D30" s="82"/>
      <c r="E30" s="83"/>
      <c r="F30" s="79"/>
    </row>
    <row r="31" spans="1:8" x14ac:dyDescent="0.25">
      <c r="D31" s="82"/>
      <c r="E31" s="83"/>
      <c r="F31" s="84"/>
    </row>
    <row r="32" spans="1:8" x14ac:dyDescent="0.25">
      <c r="D32" s="82"/>
      <c r="E32" s="83"/>
      <c r="F32" s="84"/>
    </row>
    <row r="33" spans="4:6" x14ac:dyDescent="0.25">
      <c r="D33" s="82"/>
      <c r="E33" s="83"/>
      <c r="F33" s="84"/>
    </row>
    <row r="34" spans="4:6" x14ac:dyDescent="0.25">
      <c r="D34" s="82"/>
      <c r="E34" s="83"/>
      <c r="F34" s="84"/>
    </row>
    <row r="35" spans="4:6" x14ac:dyDescent="0.25">
      <c r="D35" s="82"/>
      <c r="E35" s="83"/>
      <c r="F35" s="84"/>
    </row>
    <row r="36" spans="4:6" x14ac:dyDescent="0.25">
      <c r="D36" s="82"/>
      <c r="E36" s="83"/>
      <c r="F36" s="84"/>
    </row>
    <row r="37" spans="4:6" x14ac:dyDescent="0.25">
      <c r="D37" s="82"/>
      <c r="E37" s="83"/>
      <c r="F37" s="84"/>
    </row>
    <row r="38" spans="4:6" x14ac:dyDescent="0.25">
      <c r="D38" s="82"/>
      <c r="E38" s="83"/>
      <c r="F38" s="84"/>
    </row>
    <row r="39" spans="4:6" x14ac:dyDescent="0.25">
      <c r="D39" s="82"/>
      <c r="E39" s="83"/>
      <c r="F39" s="84"/>
    </row>
    <row r="40" spans="4:6" x14ac:dyDescent="0.25">
      <c r="D40" s="82"/>
      <c r="E40" s="83"/>
      <c r="F40" s="84"/>
    </row>
    <row r="41" spans="4:6" x14ac:dyDescent="0.25">
      <c r="D41" s="82"/>
      <c r="E41" s="83"/>
      <c r="F41" s="84"/>
    </row>
    <row r="42" spans="4:6" x14ac:dyDescent="0.25">
      <c r="D42" s="82"/>
      <c r="E42" s="83"/>
      <c r="F42" s="84"/>
    </row>
    <row r="43" spans="4:6" x14ac:dyDescent="0.25">
      <c r="D43" s="82"/>
      <c r="E43" s="83"/>
      <c r="F43" s="84"/>
    </row>
    <row r="44" spans="4:6" x14ac:dyDescent="0.25">
      <c r="D44" s="82"/>
      <c r="E44" s="83"/>
      <c r="F44" s="84"/>
    </row>
    <row r="45" spans="4:6" x14ac:dyDescent="0.25">
      <c r="D45" s="82"/>
      <c r="E45" s="83"/>
      <c r="F45" s="84"/>
    </row>
    <row r="46" spans="4:6" x14ac:dyDescent="0.25">
      <c r="D46" s="82"/>
      <c r="E46" s="83"/>
      <c r="F46" s="84"/>
    </row>
    <row r="47" spans="4:6" x14ac:dyDescent="0.25">
      <c r="D47" s="82"/>
      <c r="E47" s="83"/>
      <c r="F47" s="84"/>
    </row>
    <row r="48" spans="4:6" x14ac:dyDescent="0.25">
      <c r="D48" s="82"/>
      <c r="E48" s="83"/>
      <c r="F48" s="84"/>
    </row>
    <row r="49" spans="4:6" x14ac:dyDescent="0.25">
      <c r="D49" s="82"/>
      <c r="E49" s="83"/>
      <c r="F49" s="84"/>
    </row>
    <row r="50" spans="4:6" x14ac:dyDescent="0.25">
      <c r="D50" s="82"/>
      <c r="E50" s="83"/>
      <c r="F50" s="84"/>
    </row>
    <row r="51" spans="4:6" x14ac:dyDescent="0.25">
      <c r="D51" s="82"/>
      <c r="E51" s="83"/>
      <c r="F51" s="84"/>
    </row>
    <row r="52" spans="4:6" x14ac:dyDescent="0.25">
      <c r="D52" s="82"/>
      <c r="E52" s="83"/>
      <c r="F52" s="84"/>
    </row>
    <row r="53" spans="4:6" x14ac:dyDescent="0.25">
      <c r="D53" s="82"/>
      <c r="E53" s="83"/>
      <c r="F53" s="84"/>
    </row>
    <row r="54" spans="4:6" x14ac:dyDescent="0.25">
      <c r="D54" s="82"/>
      <c r="E54" s="83"/>
      <c r="F54" s="84"/>
    </row>
    <row r="55" spans="4:6" x14ac:dyDescent="0.25">
      <c r="D55" s="82"/>
      <c r="E55" s="83"/>
      <c r="F55" s="84"/>
    </row>
    <row r="56" spans="4:6" x14ac:dyDescent="0.25">
      <c r="D56" s="82"/>
      <c r="E56" s="83"/>
      <c r="F56" s="84"/>
    </row>
    <row r="57" spans="4:6" x14ac:dyDescent="0.25">
      <c r="D57" s="82"/>
      <c r="E57" s="83"/>
      <c r="F57" s="84"/>
    </row>
    <row r="58" spans="4:6" x14ac:dyDescent="0.25">
      <c r="D58" s="82"/>
      <c r="E58" s="83"/>
      <c r="F58" s="84"/>
    </row>
    <row r="59" spans="4:6" x14ac:dyDescent="0.25">
      <c r="D59" s="82"/>
      <c r="E59" s="83"/>
      <c r="F59" s="84"/>
    </row>
    <row r="60" spans="4:6" x14ac:dyDescent="0.25">
      <c r="D60" s="82"/>
      <c r="E60" s="83"/>
      <c r="F60" s="84"/>
    </row>
    <row r="61" spans="4:6" x14ac:dyDescent="0.25">
      <c r="D61" s="82"/>
      <c r="E61" s="83"/>
      <c r="F61" s="84"/>
    </row>
    <row r="62" spans="4:6" x14ac:dyDescent="0.25">
      <c r="D62" s="82"/>
      <c r="E62" s="83"/>
      <c r="F62" s="84"/>
    </row>
    <row r="63" spans="4:6" x14ac:dyDescent="0.25">
      <c r="D63" s="82"/>
      <c r="E63" s="83"/>
      <c r="F63" s="84"/>
    </row>
    <row r="64" spans="4:6" x14ac:dyDescent="0.25">
      <c r="D64" s="82"/>
      <c r="E64" s="83"/>
      <c r="F64" s="84"/>
    </row>
    <row r="65" spans="4:6" x14ac:dyDescent="0.25">
      <c r="D65" s="82"/>
      <c r="E65" s="83"/>
      <c r="F65" s="84"/>
    </row>
    <row r="66" spans="4:6" x14ac:dyDescent="0.25">
      <c r="D66" s="82"/>
      <c r="E66" s="83"/>
      <c r="F66" s="84"/>
    </row>
    <row r="67" spans="4:6" x14ac:dyDescent="0.25">
      <c r="D67" s="82"/>
      <c r="E67" s="83"/>
      <c r="F67" s="84"/>
    </row>
    <row r="68" spans="4:6" x14ac:dyDescent="0.25">
      <c r="D68" s="82"/>
      <c r="E68" s="83"/>
      <c r="F68" s="84"/>
    </row>
    <row r="69" spans="4:6" x14ac:dyDescent="0.25">
      <c r="D69" s="82"/>
      <c r="E69" s="83"/>
      <c r="F69" s="84"/>
    </row>
    <row r="70" spans="4:6" x14ac:dyDescent="0.25">
      <c r="D70" s="82"/>
      <c r="E70" s="83"/>
      <c r="F70" s="84"/>
    </row>
    <row r="71" spans="4:6" x14ac:dyDescent="0.25">
      <c r="D71" s="82"/>
      <c r="E71" s="83"/>
      <c r="F71" s="84"/>
    </row>
    <row r="72" spans="4:6" x14ac:dyDescent="0.25">
      <c r="D72" s="82"/>
      <c r="E72" s="83"/>
      <c r="F72" s="84"/>
    </row>
    <row r="73" spans="4:6" x14ac:dyDescent="0.25">
      <c r="D73" s="82"/>
      <c r="E73" s="83"/>
      <c r="F73" s="84"/>
    </row>
    <row r="74" spans="4:6" x14ac:dyDescent="0.25">
      <c r="D74" s="82"/>
      <c r="E74" s="83"/>
      <c r="F74" s="84"/>
    </row>
    <row r="75" spans="4:6" x14ac:dyDescent="0.25">
      <c r="D75" s="82"/>
      <c r="E75" s="83"/>
      <c r="F75" s="84"/>
    </row>
    <row r="76" spans="4:6" x14ac:dyDescent="0.25">
      <c r="D76" s="82"/>
      <c r="E76" s="83"/>
      <c r="F76" s="84"/>
    </row>
    <row r="77" spans="4:6" x14ac:dyDescent="0.25">
      <c r="D77" s="82"/>
      <c r="E77" s="83"/>
      <c r="F77" s="84"/>
    </row>
    <row r="78" spans="4:6" x14ac:dyDescent="0.25">
      <c r="D78" s="82"/>
      <c r="E78" s="83"/>
      <c r="F78" s="84"/>
    </row>
    <row r="79" spans="4:6" x14ac:dyDescent="0.25">
      <c r="D79" s="82"/>
      <c r="E79" s="83"/>
      <c r="F79" s="84"/>
    </row>
    <row r="80" spans="4:6" x14ac:dyDescent="0.25">
      <c r="D80" s="82"/>
      <c r="E80" s="83"/>
      <c r="F80" s="84"/>
    </row>
    <row r="81" spans="4:6" x14ac:dyDescent="0.25">
      <c r="D81" s="82"/>
      <c r="E81" s="83"/>
      <c r="F81" s="84"/>
    </row>
    <row r="82" spans="4:6" x14ac:dyDescent="0.25">
      <c r="D82" s="82"/>
      <c r="E82" s="83"/>
      <c r="F82" s="84"/>
    </row>
    <row r="83" spans="4:6" x14ac:dyDescent="0.25">
      <c r="D83" s="82"/>
      <c r="E83" s="83"/>
      <c r="F83" s="84"/>
    </row>
    <row r="84" spans="4:6" x14ac:dyDescent="0.25">
      <c r="D84" s="82"/>
      <c r="E84" s="83"/>
      <c r="F84" s="84"/>
    </row>
    <row r="85" spans="4:6" x14ac:dyDescent="0.25">
      <c r="D85" s="82"/>
      <c r="E85" s="83"/>
      <c r="F85" s="84"/>
    </row>
    <row r="86" spans="4:6" x14ac:dyDescent="0.25">
      <c r="D86" s="82"/>
      <c r="E86" s="83"/>
      <c r="F86" s="84"/>
    </row>
    <row r="87" spans="4:6" x14ac:dyDescent="0.25">
      <c r="D87" s="82"/>
      <c r="E87" s="83"/>
      <c r="F87" s="84"/>
    </row>
    <row r="88" spans="4:6" x14ac:dyDescent="0.25">
      <c r="D88" s="82"/>
      <c r="E88" s="83"/>
      <c r="F88" s="84"/>
    </row>
    <row r="89" spans="4:6" x14ac:dyDescent="0.25">
      <c r="D89" s="82"/>
      <c r="E89" s="83"/>
      <c r="F89" s="84"/>
    </row>
    <row r="90" spans="4:6" x14ac:dyDescent="0.25">
      <c r="D90" s="82"/>
      <c r="E90" s="83"/>
      <c r="F90" s="84"/>
    </row>
  </sheetData>
  <sheetProtection sheet="1" objects="1" scenarios="1"/>
  <mergeCells count="3">
    <mergeCell ref="C3:C4"/>
    <mergeCell ref="D3:E3"/>
    <mergeCell ref="F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K47"/>
  <sheetViews>
    <sheetView showGridLines="0" workbookViewId="0">
      <selection activeCell="B24" sqref="B24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257</v>
      </c>
    </row>
    <row r="3" spans="2:11" ht="15.75" x14ac:dyDescent="0.25">
      <c r="B3" s="195" t="s">
        <v>161</v>
      </c>
      <c r="C3" s="195"/>
      <c r="D3" s="195"/>
      <c r="E3" s="195"/>
      <c r="F3" s="195"/>
      <c r="G3" s="195"/>
      <c r="H3" s="195"/>
      <c r="I3" s="195"/>
    </row>
    <row r="4" spans="2:11" ht="15" customHeight="1" x14ac:dyDescent="0.25">
      <c r="B4" s="196" t="s">
        <v>0</v>
      </c>
      <c r="C4" s="198" t="s">
        <v>5</v>
      </c>
      <c r="D4" s="198"/>
      <c r="E4" s="198" t="s">
        <v>6</v>
      </c>
      <c r="F4" s="199" t="s">
        <v>517</v>
      </c>
      <c r="G4" s="201" t="s">
        <v>3</v>
      </c>
      <c r="H4" s="202"/>
      <c r="I4" s="198" t="s">
        <v>9</v>
      </c>
    </row>
    <row r="5" spans="2:11" x14ac:dyDescent="0.25">
      <c r="B5" s="197"/>
      <c r="C5" s="7" t="s">
        <v>4</v>
      </c>
      <c r="D5" s="7" t="s">
        <v>7</v>
      </c>
      <c r="E5" s="198"/>
      <c r="F5" s="200"/>
      <c r="G5" s="7" t="s">
        <v>8</v>
      </c>
      <c r="H5" s="7" t="s">
        <v>2</v>
      </c>
      <c r="I5" s="198"/>
    </row>
    <row r="6" spans="2:11" x14ac:dyDescent="0.25">
      <c r="B6" s="31"/>
      <c r="C6" s="32"/>
      <c r="D6" s="32"/>
      <c r="E6" s="32"/>
      <c r="F6" s="38"/>
      <c r="G6" s="32">
        <f>C6*D6*E6*F6</f>
        <v>0</v>
      </c>
      <c r="H6" s="33" t="str">
        <f>IF(G6=0,"",(VLOOKUP($B$6:$B$15,Drugs_list!$C$9:$K$172,7,FALSE)))</f>
        <v/>
      </c>
      <c r="I6" s="33" t="str">
        <f>IF(G6=0,"",(G6*H6))</f>
        <v/>
      </c>
      <c r="K6" s="19" t="e">
        <f>VLOOKUP($B$6:$B$15,Drugs_list!$C$9:$K$172,9,FALSE)</f>
        <v>#N/A</v>
      </c>
    </row>
    <row r="7" spans="2:11" x14ac:dyDescent="0.25">
      <c r="B7" s="31"/>
      <c r="C7" s="32"/>
      <c r="D7" s="32"/>
      <c r="E7" s="32"/>
      <c r="F7" s="38"/>
      <c r="G7" s="32">
        <f t="shared" ref="G7:G15" si="0">C7*D7*E7*F7</f>
        <v>0</v>
      </c>
      <c r="H7" s="33" t="str">
        <f>IF(G7=0,"",(VLOOKUP($B$6:$B$15,Drugs_list!$C$9:$K$172,7,FALSE)))</f>
        <v/>
      </c>
      <c r="I7" s="33" t="str">
        <f t="shared" ref="I7:I15" si="1">IF(G7=0,"",(G7*H7))</f>
        <v/>
      </c>
      <c r="K7" s="19" t="e">
        <f>VLOOKUP($B$6:$B$15,Drugs_list!$C$9:$K$172,9,FALSE)</f>
        <v>#N/A</v>
      </c>
    </row>
    <row r="8" spans="2:11" x14ac:dyDescent="0.25">
      <c r="B8" s="31"/>
      <c r="C8" s="32"/>
      <c r="D8" s="32"/>
      <c r="E8" s="32"/>
      <c r="F8" s="38"/>
      <c r="G8" s="32">
        <f t="shared" si="0"/>
        <v>0</v>
      </c>
      <c r="H8" s="33" t="str">
        <f>IF(G8=0,"",(VLOOKUP($B$6:$B$15,Drugs_list!$C$9:$K$172,7,FALSE)))</f>
        <v/>
      </c>
      <c r="I8" s="33" t="str">
        <f t="shared" si="1"/>
        <v/>
      </c>
      <c r="K8" s="19" t="e">
        <f>VLOOKUP($B$6:$B$15,Drugs_list!$C$9:$K$172,9,FALSE)</f>
        <v>#N/A</v>
      </c>
    </row>
    <row r="9" spans="2:11" x14ac:dyDescent="0.25">
      <c r="B9" s="31"/>
      <c r="C9" s="32"/>
      <c r="D9" s="32"/>
      <c r="E9" s="32"/>
      <c r="F9" s="38"/>
      <c r="G9" s="32">
        <f t="shared" si="0"/>
        <v>0</v>
      </c>
      <c r="H9" s="33" t="str">
        <f>IF(G9=0,"",(VLOOKUP($B$6:$B$15,Drugs_list!$C$9:$K$172,7,FALSE)))</f>
        <v/>
      </c>
      <c r="I9" s="33" t="str">
        <f t="shared" si="1"/>
        <v/>
      </c>
      <c r="K9" s="19" t="e">
        <f>VLOOKUP($B$6:$B$15,Drugs_list!$C$9:$K$172,9,FALSE)</f>
        <v>#N/A</v>
      </c>
    </row>
    <row r="10" spans="2:11" x14ac:dyDescent="0.25">
      <c r="B10" s="31"/>
      <c r="C10" s="32"/>
      <c r="D10" s="32"/>
      <c r="E10" s="32"/>
      <c r="F10" s="38"/>
      <c r="G10" s="32">
        <f t="shared" si="0"/>
        <v>0</v>
      </c>
      <c r="H10" s="33" t="str">
        <f>IF(G10=0,"",(VLOOKUP($B$6:$B$15,Drugs_list!$C$9:$K$172,7,FALSE)))</f>
        <v/>
      </c>
      <c r="I10" s="33" t="str">
        <f t="shared" si="1"/>
        <v/>
      </c>
      <c r="K10" s="19" t="e">
        <f>VLOOKUP($B$6:$B$15,Drugs_list!$C$9:$K$172,9,FALSE)</f>
        <v>#N/A</v>
      </c>
    </row>
    <row r="11" spans="2:11" x14ac:dyDescent="0.25">
      <c r="B11" s="31"/>
      <c r="C11" s="32"/>
      <c r="D11" s="32"/>
      <c r="E11" s="32"/>
      <c r="F11" s="38"/>
      <c r="G11" s="32">
        <f t="shared" si="0"/>
        <v>0</v>
      </c>
      <c r="H11" s="33" t="str">
        <f>IF(G11=0,"",(VLOOKUP($B$6:$B$15,Drugs_list!$C$9:$K$172,7,FALSE)))</f>
        <v/>
      </c>
      <c r="I11" s="33" t="str">
        <f t="shared" si="1"/>
        <v/>
      </c>
      <c r="K11" s="19" t="e">
        <f>VLOOKUP($B$6:$B$15,Drugs_list!$C$9:$K$172,9,FALSE)</f>
        <v>#N/A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0</v>
      </c>
    </row>
    <row r="19" spans="2:6" ht="15.75" x14ac:dyDescent="0.25">
      <c r="B19" s="195" t="s">
        <v>162</v>
      </c>
      <c r="C19" s="195"/>
      <c r="D19" s="195"/>
      <c r="E19" s="195"/>
      <c r="F19" s="195"/>
    </row>
    <row r="20" spans="2:6" ht="19.5" customHeight="1" x14ac:dyDescent="0.25">
      <c r="B20" s="12" t="s">
        <v>0</v>
      </c>
      <c r="C20" s="7" t="s">
        <v>1</v>
      </c>
      <c r="D20" s="7" t="s">
        <v>517</v>
      </c>
      <c r="E20" s="7" t="s">
        <v>159</v>
      </c>
      <c r="F20" s="7" t="s">
        <v>160</v>
      </c>
    </row>
    <row r="21" spans="2:6" x14ac:dyDescent="0.25">
      <c r="B21" s="31"/>
      <c r="C21" s="32"/>
      <c r="D21" s="38"/>
      <c r="E21" s="32" t="str">
        <f>IF(C21="","",(VLOOKUP($B$21:$B$30,Supplies_list!$C$8:$G$64,5,FALSE)))</f>
        <v/>
      </c>
      <c r="F21" s="32" t="str">
        <f>IF(C21="","",(C21*D21*E21))</f>
        <v/>
      </c>
    </row>
    <row r="22" spans="2:6" x14ac:dyDescent="0.25">
      <c r="B22" s="31"/>
      <c r="C22" s="32"/>
      <c r="D22" s="38"/>
      <c r="E22" s="32" t="str">
        <f>IF(C22="","",(VLOOKUP($B$21:$B$30,Supplies_list!$C$8:$G$64,5,FALSE)))</f>
        <v/>
      </c>
      <c r="F22" s="32" t="str">
        <f t="shared" ref="F22:F30" si="2">IF(C22="","",(C22*D22*E22))</f>
        <v/>
      </c>
    </row>
    <row r="23" spans="2:6" x14ac:dyDescent="0.25">
      <c r="B23" s="31"/>
      <c r="C23" s="32"/>
      <c r="D23" s="38"/>
      <c r="E23" s="32" t="str">
        <f>IF(C23="","",(VLOOKUP($B$21:$B$30,Supplies_list!$C$8:$G$64,5,FALSE)))</f>
        <v/>
      </c>
      <c r="F23" s="32" t="str">
        <f t="shared" si="2"/>
        <v/>
      </c>
    </row>
    <row r="24" spans="2:6" x14ac:dyDescent="0.25">
      <c r="B24" s="31"/>
      <c r="C24" s="36"/>
      <c r="D24" s="39"/>
      <c r="E24" s="32" t="str">
        <f>IF(C24="","",(VLOOKUP($B$21:$B$30,Supplies_list!$C$8:$G$64,5,FALSE)))</f>
        <v/>
      </c>
      <c r="F24" s="32" t="str">
        <f t="shared" si="2"/>
        <v/>
      </c>
    </row>
    <row r="25" spans="2:6" x14ac:dyDescent="0.25">
      <c r="B25" s="31"/>
      <c r="C25" s="32"/>
      <c r="D25" s="38"/>
      <c r="E25" s="32" t="str">
        <f>IF(C25="","",(VLOOKUP($B$21:$B$30,Supplies_list!$C$8:$G$64,5,FALSE)))</f>
        <v/>
      </c>
      <c r="F25" s="32" t="str">
        <f t="shared" si="2"/>
        <v/>
      </c>
    </row>
    <row r="26" spans="2:6" x14ac:dyDescent="0.25">
      <c r="B26" s="31"/>
      <c r="C26" s="32"/>
      <c r="D26" s="38"/>
      <c r="E26" s="32" t="str">
        <f>IF(C26="","",(VLOOKUP($B$21:$B$30,Supplies_list!$C$8:$G$64,5,FALSE)))</f>
        <v/>
      </c>
      <c r="F26" s="32" t="str">
        <f t="shared" si="2"/>
        <v/>
      </c>
    </row>
    <row r="27" spans="2:6" x14ac:dyDescent="0.25">
      <c r="B27" s="31"/>
      <c r="C27" s="32"/>
      <c r="D27" s="38"/>
      <c r="E27" s="32" t="str">
        <f>IF(C27="","",(VLOOKUP($B$21:$B$30,Supplies_list!$C$8:$G$64,5,FALSE)))</f>
        <v/>
      </c>
      <c r="F27" s="32" t="str">
        <f t="shared" si="2"/>
        <v/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0</v>
      </c>
    </row>
    <row r="35" spans="2:5" ht="15.75" x14ac:dyDescent="0.25">
      <c r="B35" s="195" t="s">
        <v>163</v>
      </c>
      <c r="C35" s="195"/>
      <c r="D35" s="195"/>
      <c r="E35" s="195"/>
    </row>
    <row r="36" spans="2:5" x14ac:dyDescent="0.25">
      <c r="B36" s="7" t="s">
        <v>0</v>
      </c>
      <c r="C36" s="7" t="s">
        <v>1</v>
      </c>
      <c r="D36" s="7" t="s">
        <v>159</v>
      </c>
      <c r="E36" s="7" t="s">
        <v>160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C62"/>
  <sheetViews>
    <sheetView showGridLines="0" zoomScaleNormal="100" workbookViewId="0">
      <selection activeCell="B32" sqref="B32"/>
    </sheetView>
  </sheetViews>
  <sheetFormatPr defaultRowHeight="18.75" x14ac:dyDescent="0.3"/>
  <cols>
    <col min="1" max="1" width="9.140625" style="42"/>
    <col min="2" max="2" width="35.7109375" style="42" customWidth="1"/>
    <col min="3" max="3" width="19.140625" style="42" bestFit="1" customWidth="1"/>
    <col min="4" max="6" width="16" style="42" bestFit="1" customWidth="1"/>
    <col min="7" max="7" width="9.140625" style="42"/>
    <col min="8" max="8" width="11.28515625" style="42" bestFit="1" customWidth="1"/>
    <col min="9" max="9" width="12.140625" style="42" bestFit="1" customWidth="1"/>
    <col min="10" max="13" width="12.28515625" style="42" bestFit="1" customWidth="1"/>
    <col min="14" max="14" width="9.42578125" style="42" bestFit="1" customWidth="1"/>
    <col min="15" max="18" width="9.140625" style="42"/>
    <col min="19" max="19" width="9.140625" style="42" customWidth="1"/>
    <col min="20" max="20" width="12" style="42" customWidth="1"/>
    <col min="21" max="16384" width="9.140625" style="42"/>
  </cols>
  <sheetData>
    <row r="2" spans="2:29" x14ac:dyDescent="0.3">
      <c r="B2" s="178" t="s">
        <v>673</v>
      </c>
      <c r="C2" s="179"/>
      <c r="D2" s="179"/>
      <c r="E2" s="179"/>
      <c r="F2" s="179"/>
    </row>
    <row r="3" spans="2:29" x14ac:dyDescent="0.3">
      <c r="B3" s="123" t="s">
        <v>588</v>
      </c>
      <c r="C3" s="124" t="e">
        <f>pop_1</f>
        <v>#REF!</v>
      </c>
      <c r="D3" s="124" t="e">
        <f>pop_2</f>
        <v>#REF!</v>
      </c>
      <c r="E3" s="124" t="e">
        <f>pop_3</f>
        <v>#REF!</v>
      </c>
      <c r="F3" s="124" t="e">
        <f>Pop_4</f>
        <v>#REF!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2:29" s="61" customFormat="1" x14ac:dyDescent="0.3">
      <c r="N4" s="106"/>
      <c r="O4" s="106"/>
      <c r="P4" s="106"/>
      <c r="Q4" s="106"/>
      <c r="R4" s="106"/>
      <c r="S4" s="116">
        <v>0.05</v>
      </c>
      <c r="T4" s="117">
        <f>-0.5%</f>
        <v>-5.0000000000000001E-3</v>
      </c>
      <c r="U4" s="120">
        <v>0.05</v>
      </c>
      <c r="V4" s="106"/>
      <c r="W4" s="106"/>
      <c r="X4" s="106"/>
      <c r="Y4" s="106"/>
      <c r="Z4" s="106"/>
      <c r="AA4" s="106"/>
      <c r="AB4" s="106"/>
      <c r="AC4" s="106"/>
    </row>
    <row r="5" spans="2:29" x14ac:dyDescent="0.3">
      <c r="B5" s="123" t="s">
        <v>579</v>
      </c>
      <c r="C5" s="125" t="s">
        <v>572</v>
      </c>
      <c r="D5" s="125" t="s">
        <v>572</v>
      </c>
      <c r="E5" s="125" t="s">
        <v>572</v>
      </c>
      <c r="F5" s="125" t="s">
        <v>572</v>
      </c>
      <c r="N5" s="44"/>
      <c r="O5" s="44"/>
      <c r="P5" s="44"/>
      <c r="Q5" s="44"/>
      <c r="R5" s="44"/>
      <c r="S5" s="116">
        <v>0.1</v>
      </c>
      <c r="T5" s="118">
        <f>T4-0.25%</f>
        <v>-7.4999999999999997E-3</v>
      </c>
      <c r="U5" s="44">
        <v>10</v>
      </c>
      <c r="V5" s="44"/>
      <c r="W5" s="44"/>
      <c r="X5" s="44"/>
      <c r="Y5" s="44"/>
      <c r="Z5" s="44"/>
      <c r="AA5" s="44"/>
      <c r="AB5" s="44"/>
      <c r="AC5" s="44"/>
    </row>
    <row r="6" spans="2:29" x14ac:dyDescent="0.3">
      <c r="B6" s="46" t="s">
        <v>562</v>
      </c>
      <c r="C6" s="49">
        <f>Staff_cost!$F$34</f>
        <v>36000</v>
      </c>
      <c r="D6" s="49">
        <f>Staff_cost!$F$34</f>
        <v>36000</v>
      </c>
      <c r="E6" s="49">
        <f>Staff_cost!$F$34</f>
        <v>36000</v>
      </c>
      <c r="F6" s="49">
        <f>Staff_cost!$F$34</f>
        <v>36000</v>
      </c>
      <c r="N6" s="44" t="s">
        <v>620</v>
      </c>
      <c r="O6" s="44"/>
      <c r="P6" s="44"/>
      <c r="Q6" s="44"/>
      <c r="R6" s="44"/>
      <c r="S6" s="116">
        <v>0.15</v>
      </c>
      <c r="T6" s="118">
        <f t="shared" ref="T6:T9" si="0">T5-0.25%</f>
        <v>-0.01</v>
      </c>
      <c r="U6" s="44"/>
      <c r="V6" s="44"/>
      <c r="W6" s="44"/>
      <c r="X6" s="44"/>
      <c r="Y6" s="44"/>
      <c r="Z6" s="44"/>
      <c r="AA6" s="44"/>
      <c r="AB6" s="44"/>
      <c r="AC6" s="44"/>
    </row>
    <row r="7" spans="2:29" x14ac:dyDescent="0.3">
      <c r="B7" s="46" t="s">
        <v>587</v>
      </c>
      <c r="C7" s="49" t="e">
        <f>#REF!</f>
        <v>#REF!</v>
      </c>
      <c r="D7" s="49" t="e">
        <f>#REF!</f>
        <v>#REF!</v>
      </c>
      <c r="E7" s="49" t="e">
        <f>#REF!</f>
        <v>#REF!</v>
      </c>
      <c r="F7" s="49" t="e">
        <f>#REF!</f>
        <v>#REF!</v>
      </c>
      <c r="N7" s="44" t="s">
        <v>621</v>
      </c>
      <c r="O7" s="44"/>
      <c r="P7" s="44"/>
      <c r="Q7" s="44"/>
      <c r="R7" s="44"/>
      <c r="S7" s="116">
        <v>0.2</v>
      </c>
      <c r="T7" s="118">
        <f t="shared" si="0"/>
        <v>-1.2500000000000001E-2</v>
      </c>
      <c r="U7" s="44"/>
      <c r="V7" s="44"/>
      <c r="W7" s="44"/>
      <c r="X7" s="44"/>
      <c r="Y7" s="44"/>
      <c r="Z7" s="44"/>
      <c r="AA7" s="44"/>
      <c r="AB7" s="44"/>
      <c r="AC7" s="44"/>
    </row>
    <row r="8" spans="2:29" x14ac:dyDescent="0.3">
      <c r="B8" s="46" t="s">
        <v>64</v>
      </c>
      <c r="C8" s="49" t="e">
        <f>#REF!</f>
        <v>#REF!</v>
      </c>
      <c r="D8" s="49" t="e">
        <f>#REF!</f>
        <v>#REF!</v>
      </c>
      <c r="E8" s="49" t="e">
        <f>#REF!</f>
        <v>#REF!</v>
      </c>
      <c r="F8" s="49" t="e">
        <f>#REF!</f>
        <v>#REF!</v>
      </c>
      <c r="N8" s="44" t="s">
        <v>622</v>
      </c>
      <c r="O8" s="44"/>
      <c r="P8" s="44"/>
      <c r="Q8" s="44"/>
      <c r="R8" s="44"/>
      <c r="S8" s="116">
        <v>0.3</v>
      </c>
      <c r="T8" s="118">
        <f t="shared" si="0"/>
        <v>-1.5000000000000001E-2</v>
      </c>
      <c r="U8" s="44"/>
      <c r="V8" s="44"/>
      <c r="W8" s="44"/>
      <c r="X8" s="44"/>
      <c r="Y8" s="44"/>
      <c r="Z8" s="44"/>
      <c r="AA8" s="44"/>
      <c r="AB8" s="44"/>
      <c r="AC8" s="44"/>
    </row>
    <row r="9" spans="2:29" x14ac:dyDescent="0.3">
      <c r="B9" s="46" t="s">
        <v>570</v>
      </c>
      <c r="C9" s="49" t="e">
        <f>Operating_Exp!#REF!</f>
        <v>#REF!</v>
      </c>
      <c r="D9" s="49" t="e">
        <f>Operating_Exp!#REF!</f>
        <v>#REF!</v>
      </c>
      <c r="E9" s="49" t="e">
        <f>Operating_Exp!#REF!</f>
        <v>#REF!</v>
      </c>
      <c r="F9" s="49" t="e">
        <f>Operating_Exp!#REF!</f>
        <v>#REF!</v>
      </c>
      <c r="N9" s="44"/>
      <c r="O9" s="44"/>
      <c r="P9" s="44"/>
      <c r="Q9" s="44"/>
      <c r="R9" s="44"/>
      <c r="S9" s="116">
        <v>0.35</v>
      </c>
      <c r="T9" s="118">
        <f t="shared" si="0"/>
        <v>-1.7500000000000002E-2</v>
      </c>
      <c r="U9" s="44"/>
      <c r="V9" s="44"/>
      <c r="W9" s="44"/>
      <c r="X9" s="44"/>
      <c r="Y9" s="44"/>
      <c r="Z9" s="44"/>
      <c r="AA9" s="44"/>
      <c r="AB9" s="44"/>
      <c r="AC9" s="44"/>
    </row>
    <row r="10" spans="2:29" x14ac:dyDescent="0.3">
      <c r="B10" s="123" t="s">
        <v>8</v>
      </c>
      <c r="C10" s="124" t="e">
        <f>SUM(C6:C9)</f>
        <v>#REF!</v>
      </c>
      <c r="D10" s="124" t="e">
        <f>SUM(D6:D9)</f>
        <v>#REF!</v>
      </c>
      <c r="E10" s="124" t="e">
        <f>SUM(E6:E9)</f>
        <v>#REF!</v>
      </c>
      <c r="F10" s="124" t="e">
        <f>SUM(F6:F9)</f>
        <v>#REF!</v>
      </c>
      <c r="N10" s="44"/>
      <c r="O10" s="44"/>
      <c r="P10" s="44"/>
      <c r="Q10" s="44"/>
      <c r="R10" s="44"/>
      <c r="S10" s="116">
        <v>0.4</v>
      </c>
      <c r="T10" s="119">
        <f>T9-0.5%</f>
        <v>-2.2500000000000003E-2</v>
      </c>
      <c r="U10" s="44"/>
      <c r="V10" s="44"/>
      <c r="W10" s="44"/>
      <c r="X10" s="44"/>
      <c r="Y10" s="44"/>
      <c r="Z10" s="44"/>
      <c r="AA10" s="44"/>
      <c r="AB10" s="44"/>
      <c r="AC10" s="44"/>
    </row>
    <row r="11" spans="2:29" x14ac:dyDescent="0.3">
      <c r="B11" s="126" t="s">
        <v>615</v>
      </c>
      <c r="C11" s="124" t="e">
        <f>(C18*1.075)+C19</f>
        <v>#REF!</v>
      </c>
      <c r="D11" s="124" t="e">
        <f t="shared" ref="D11:F11" si="1">(D18*1.075)+D19</f>
        <v>#REF!</v>
      </c>
      <c r="E11" s="124" t="e">
        <f t="shared" si="1"/>
        <v>#REF!</v>
      </c>
      <c r="F11" s="124" t="e">
        <f t="shared" si="1"/>
        <v>#REF!</v>
      </c>
      <c r="N11" s="44"/>
      <c r="O11" s="44"/>
      <c r="P11" s="44"/>
      <c r="Q11" s="44"/>
      <c r="R11" s="44"/>
      <c r="S11" s="116"/>
      <c r="T11" s="119"/>
      <c r="U11" s="44"/>
      <c r="V11" s="44"/>
      <c r="W11" s="44"/>
      <c r="X11" s="44"/>
      <c r="Y11" s="44"/>
      <c r="Z11" s="44"/>
      <c r="AA11" s="44"/>
      <c r="AB11" s="44"/>
      <c r="AC11" s="44"/>
    </row>
    <row r="12" spans="2:29" x14ac:dyDescent="0.3">
      <c r="B12" s="126" t="s">
        <v>616</v>
      </c>
      <c r="C12" s="124" t="e">
        <f>(C18*0.925)+C19</f>
        <v>#REF!</v>
      </c>
      <c r="D12" s="124" t="e">
        <f t="shared" ref="D12:F12" si="2">(D18*0.925)+D19</f>
        <v>#REF!</v>
      </c>
      <c r="E12" s="124" t="e">
        <f t="shared" si="2"/>
        <v>#REF!</v>
      </c>
      <c r="F12" s="124" t="e">
        <f t="shared" si="2"/>
        <v>#REF!</v>
      </c>
      <c r="N12" s="44"/>
      <c r="O12" s="44"/>
      <c r="P12" s="44"/>
      <c r="Q12" s="44"/>
      <c r="R12" s="44"/>
      <c r="S12" s="116"/>
      <c r="T12" s="119"/>
      <c r="U12" s="44"/>
      <c r="V12" s="44"/>
      <c r="W12" s="44"/>
      <c r="X12" s="44"/>
      <c r="Y12" s="44"/>
      <c r="Z12" s="44"/>
      <c r="AA12" s="44"/>
      <c r="AB12" s="44"/>
      <c r="AC12" s="44"/>
    </row>
    <row r="13" spans="2:29" x14ac:dyDescent="0.3">
      <c r="C13" s="51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2:29" x14ac:dyDescent="0.3">
      <c r="B14" s="176" t="s">
        <v>596</v>
      </c>
      <c r="C14" s="114" t="e">
        <f>C10/C3</f>
        <v>#REF!</v>
      </c>
      <c r="D14" s="114" t="e">
        <f>D10/D3</f>
        <v>#REF!</v>
      </c>
      <c r="E14" s="114" t="e">
        <f>E10/E3</f>
        <v>#REF!</v>
      </c>
      <c r="F14" s="114" t="e">
        <f>F10/F3</f>
        <v>#REF!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2:29" x14ac:dyDescent="0.3">
      <c r="B15" s="177"/>
      <c r="C15" s="113" t="e">
        <f>C14/ex_usd</f>
        <v>#REF!</v>
      </c>
      <c r="D15" s="113" t="e">
        <f>D14/ex_usd</f>
        <v>#REF!</v>
      </c>
      <c r="E15" s="113" t="e">
        <f>E14/ex_usd</f>
        <v>#REF!</v>
      </c>
      <c r="F15" s="113" t="e">
        <f>F14/ex_usd</f>
        <v>#REF!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2:29" x14ac:dyDescent="0.3">
      <c r="B16" s="110"/>
      <c r="C16" s="50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2:29" x14ac:dyDescent="0.3">
      <c r="B17" s="123" t="s">
        <v>602</v>
      </c>
      <c r="C17" s="125" t="s">
        <v>572</v>
      </c>
      <c r="D17" s="125" t="s">
        <v>572</v>
      </c>
      <c r="E17" s="125" t="s">
        <v>572</v>
      </c>
      <c r="F17" s="125" t="s">
        <v>572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2:29" x14ac:dyDescent="0.3">
      <c r="B18" s="46" t="s">
        <v>598</v>
      </c>
      <c r="C18" s="49" t="e">
        <f>C7+C8+Operating_Exp!#REF!</f>
        <v>#REF!</v>
      </c>
      <c r="D18" s="49" t="e">
        <f>D7+D8+Operating_Exp!#REF!</f>
        <v>#REF!</v>
      </c>
      <c r="E18" s="49" t="e">
        <f>E7+E8+Operating_Exp!#REF!</f>
        <v>#REF!</v>
      </c>
      <c r="F18" s="49" t="e">
        <f>F7+F8+Operating_Exp!#REF!</f>
        <v>#REF!</v>
      </c>
    </row>
    <row r="19" spans="2:29" x14ac:dyDescent="0.3">
      <c r="B19" s="46" t="s">
        <v>597</v>
      </c>
      <c r="C19" s="49">
        <f>C6+Operating_Exp!$D$12</f>
        <v>55350</v>
      </c>
      <c r="D19" s="49">
        <f>D6+Operating_Exp!$D$12</f>
        <v>55350</v>
      </c>
      <c r="E19" s="49">
        <f>E6+Operating_Exp!$D$12</f>
        <v>55350</v>
      </c>
      <c r="F19" s="49">
        <f>F6+Operating_Exp!$D$12</f>
        <v>55350</v>
      </c>
    </row>
    <row r="20" spans="2:29" x14ac:dyDescent="0.3">
      <c r="B20" s="123" t="s">
        <v>160</v>
      </c>
      <c r="C20" s="126" t="e">
        <f>SUM(C18:C19)</f>
        <v>#REF!</v>
      </c>
      <c r="D20" s="126" t="e">
        <f t="shared" ref="D20:F20" si="3">SUM(D18:D19)</f>
        <v>#REF!</v>
      </c>
      <c r="E20" s="126" t="e">
        <f t="shared" si="3"/>
        <v>#REF!</v>
      </c>
      <c r="F20" s="126" t="e">
        <f t="shared" si="3"/>
        <v>#REF!</v>
      </c>
    </row>
    <row r="21" spans="2:29" s="61" customFormat="1" ht="15" x14ac:dyDescent="0.25"/>
    <row r="22" spans="2:29" s="61" customFormat="1" x14ac:dyDescent="0.25">
      <c r="B22" s="123" t="s">
        <v>601</v>
      </c>
      <c r="C22" s="125" t="s">
        <v>572</v>
      </c>
      <c r="D22" s="125" t="s">
        <v>572</v>
      </c>
      <c r="E22" s="125" t="s">
        <v>572</v>
      </c>
      <c r="F22" s="125" t="s">
        <v>572</v>
      </c>
    </row>
    <row r="23" spans="2:29" s="61" customFormat="1" x14ac:dyDescent="0.3">
      <c r="B23" s="49" t="s">
        <v>605</v>
      </c>
      <c r="C23" s="49" t="e">
        <f>C18/C3</f>
        <v>#REF!</v>
      </c>
      <c r="D23" s="49" t="e">
        <f>D18/D3</f>
        <v>#REF!</v>
      </c>
      <c r="E23" s="49" t="e">
        <f>E18/E3</f>
        <v>#REF!</v>
      </c>
      <c r="F23" s="49" t="e">
        <f>F18/F3</f>
        <v>#REF!</v>
      </c>
      <c r="H23" s="79"/>
      <c r="I23" s="79"/>
      <c r="J23" s="79"/>
      <c r="K23" s="79"/>
    </row>
    <row r="24" spans="2:29" s="61" customFormat="1" x14ac:dyDescent="0.3">
      <c r="B24" s="49" t="s">
        <v>606</v>
      </c>
      <c r="C24" s="49" t="e">
        <f>C19/C3</f>
        <v>#REF!</v>
      </c>
      <c r="D24" s="49" t="e">
        <f t="shared" ref="D24:F24" si="4">D19/D3</f>
        <v>#REF!</v>
      </c>
      <c r="E24" s="49" t="e">
        <f t="shared" si="4"/>
        <v>#REF!</v>
      </c>
      <c r="F24" s="49" t="e">
        <f t="shared" si="4"/>
        <v>#REF!</v>
      </c>
      <c r="H24" s="84"/>
      <c r="I24" s="84"/>
      <c r="J24" s="84"/>
      <c r="K24" s="84"/>
    </row>
    <row r="25" spans="2:29" s="61" customFormat="1" x14ac:dyDescent="0.25">
      <c r="B25" s="174" t="s">
        <v>607</v>
      </c>
      <c r="C25" s="141" t="e">
        <f>C20/C3</f>
        <v>#REF!</v>
      </c>
      <c r="D25" s="141" t="e">
        <f t="shared" ref="D25:F25" si="5">D20/D3</f>
        <v>#REF!</v>
      </c>
      <c r="E25" s="141" t="e">
        <f t="shared" si="5"/>
        <v>#REF!</v>
      </c>
      <c r="F25" s="141" t="e">
        <f t="shared" si="5"/>
        <v>#REF!</v>
      </c>
    </row>
    <row r="26" spans="2:29" s="61" customFormat="1" x14ac:dyDescent="0.25">
      <c r="B26" s="175"/>
      <c r="C26" s="142" t="e">
        <f>C25/ex_usd</f>
        <v>#REF!</v>
      </c>
      <c r="D26" s="142" t="e">
        <f>D25/ex_usd</f>
        <v>#REF!</v>
      </c>
      <c r="E26" s="142" t="e">
        <f>E25/ex_usd</f>
        <v>#REF!</v>
      </c>
      <c r="F26" s="142" t="e">
        <f>F25/ex_usd</f>
        <v>#REF!</v>
      </c>
    </row>
    <row r="27" spans="2:29" s="61" customFormat="1" ht="15" x14ac:dyDescent="0.25"/>
    <row r="28" spans="2:29" x14ac:dyDescent="0.3">
      <c r="B28" s="123" t="s">
        <v>599</v>
      </c>
      <c r="C28" s="143" t="e">
        <f>#REF!</f>
        <v>#REF!</v>
      </c>
      <c r="D28" s="143" t="e">
        <f>#REF!</f>
        <v>#REF!</v>
      </c>
      <c r="E28" s="143" t="e">
        <f>#REF!</f>
        <v>#REF!</v>
      </c>
      <c r="F28" s="143" t="e">
        <f>#REF!</f>
        <v>#REF!</v>
      </c>
    </row>
    <row r="29" spans="2:29" x14ac:dyDescent="0.3">
      <c r="B29" s="123" t="s">
        <v>603</v>
      </c>
      <c r="C29" s="126" t="e">
        <f>#REF!-Basic_demo!HFN</f>
        <v>#REF!</v>
      </c>
      <c r="D29" s="126" t="e">
        <f>#REF!-Basic_demo!HFN</f>
        <v>#REF!</v>
      </c>
      <c r="E29" s="126" t="e">
        <f>#REF!-Basic_demo!HFN</f>
        <v>#REF!</v>
      </c>
      <c r="F29" s="126" t="e">
        <f>#REF!-Basic_demo!HFN</f>
        <v>#REF!</v>
      </c>
    </row>
    <row r="31" spans="2:29" x14ac:dyDescent="0.3">
      <c r="B31" s="178" t="s">
        <v>674</v>
      </c>
      <c r="C31" s="179"/>
      <c r="D31" s="179"/>
      <c r="E31" s="179"/>
      <c r="F31" s="179"/>
    </row>
    <row r="33" spans="2:10" x14ac:dyDescent="0.3">
      <c r="B33" s="180" t="s">
        <v>617</v>
      </c>
      <c r="C33" s="181"/>
      <c r="D33" s="182"/>
      <c r="E33" s="144">
        <v>0.05</v>
      </c>
      <c r="F33" s="112">
        <f>VLOOKUP(perc_increase,S4:T10,2,FALSE)</f>
        <v>-5.0000000000000001E-3</v>
      </c>
    </row>
    <row r="34" spans="2:10" x14ac:dyDescent="0.3">
      <c r="B34" s="183" t="s">
        <v>618</v>
      </c>
      <c r="C34" s="184"/>
      <c r="D34" s="145" t="s">
        <v>622</v>
      </c>
      <c r="E34" s="144">
        <v>0</v>
      </c>
      <c r="F34" s="112"/>
    </row>
    <row r="35" spans="2:10" x14ac:dyDescent="0.3">
      <c r="B35" s="183" t="s">
        <v>619</v>
      </c>
      <c r="C35" s="184"/>
      <c r="D35" s="145" t="s">
        <v>622</v>
      </c>
      <c r="E35" s="144">
        <v>0</v>
      </c>
      <c r="F35" s="112"/>
    </row>
    <row r="36" spans="2:10" s="61" customFormat="1" ht="15" x14ac:dyDescent="0.25"/>
    <row r="37" spans="2:10" s="61" customFormat="1" x14ac:dyDescent="0.3">
      <c r="B37" s="178" t="s">
        <v>604</v>
      </c>
      <c r="C37" s="179"/>
      <c r="D37" s="179"/>
      <c r="E37" s="179"/>
      <c r="F37" s="179"/>
      <c r="J37" s="42"/>
    </row>
    <row r="38" spans="2:10" x14ac:dyDescent="0.3">
      <c r="B38" s="123" t="s">
        <v>588</v>
      </c>
      <c r="C38" s="124" t="e">
        <f>pop_1</f>
        <v>#REF!</v>
      </c>
      <c r="D38" s="124" t="e">
        <f>pop_2</f>
        <v>#REF!</v>
      </c>
      <c r="E38" s="124" t="e">
        <f>pop_3</f>
        <v>#REF!</v>
      </c>
      <c r="F38" s="124" t="e">
        <f>Pop_4</f>
        <v>#REF!</v>
      </c>
    </row>
    <row r="39" spans="2:10" x14ac:dyDescent="0.3">
      <c r="B39" s="43"/>
      <c r="D39" s="107"/>
    </row>
    <row r="40" spans="2:10" x14ac:dyDescent="0.3">
      <c r="B40" s="123" t="str">
        <f t="shared" ref="B40:F40" si="6">B5</f>
        <v>Expenditure Category</v>
      </c>
      <c r="C40" s="125" t="str">
        <f t="shared" si="6"/>
        <v>PKR</v>
      </c>
      <c r="D40" s="125" t="str">
        <f t="shared" si="6"/>
        <v>PKR</v>
      </c>
      <c r="E40" s="125" t="str">
        <f t="shared" si="6"/>
        <v>PKR</v>
      </c>
      <c r="F40" s="125" t="str">
        <f t="shared" si="6"/>
        <v>PKR</v>
      </c>
    </row>
    <row r="41" spans="2:10" x14ac:dyDescent="0.3">
      <c r="B41" s="46" t="str">
        <f>B6</f>
        <v>Salaries</v>
      </c>
      <c r="C41" s="49">
        <f>IF($D$34="Decrease",(C6*(1-$E$34)),(C6*(1+$E$34)))</f>
        <v>36000</v>
      </c>
      <c r="D41" s="49">
        <f t="shared" ref="D41:F41" si="7">IF($D$34="Decrease",(D6*(1-$E$34)),(D6*(1+$E$34)))</f>
        <v>36000</v>
      </c>
      <c r="E41" s="49">
        <f t="shared" si="7"/>
        <v>36000</v>
      </c>
      <c r="F41" s="49">
        <f t="shared" si="7"/>
        <v>36000</v>
      </c>
    </row>
    <row r="42" spans="2:10" x14ac:dyDescent="0.3">
      <c r="B42" s="46" t="str">
        <f>B7</f>
        <v>Medicines and Supplies</v>
      </c>
      <c r="C42" s="49" t="e">
        <f>#REF!*(1+eco_scale)</f>
        <v>#REF!</v>
      </c>
      <c r="D42" s="49" t="e">
        <f>#REF!*(1+eco_scale)</f>
        <v>#REF!</v>
      </c>
      <c r="E42" s="49" t="e">
        <f>#REF!*(1+eco_scale)</f>
        <v>#REF!</v>
      </c>
      <c r="F42" s="49" t="e">
        <f>#REF!*(1+eco_scale)</f>
        <v>#REF!</v>
      </c>
    </row>
    <row r="43" spans="2:10" x14ac:dyDescent="0.3">
      <c r="B43" s="46" t="str">
        <f>B8</f>
        <v>Immunisation</v>
      </c>
      <c r="C43" s="49" t="e">
        <f>#REF!*(1+eco_scale)</f>
        <v>#REF!</v>
      </c>
      <c r="D43" s="49" t="e">
        <f>#REF!*(1+eco_scale)</f>
        <v>#REF!</v>
      </c>
      <c r="E43" s="49" t="e">
        <f>#REF!*(1+eco_scale)</f>
        <v>#REF!</v>
      </c>
      <c r="F43" s="49" t="e">
        <f>#REF!*(1+eco_scale)</f>
        <v>#REF!</v>
      </c>
    </row>
    <row r="44" spans="2:10" x14ac:dyDescent="0.3">
      <c r="B44" s="46" t="str">
        <f>B9</f>
        <v>Operating Expenditure</v>
      </c>
      <c r="C44" s="49" t="e">
        <f>IF($D$35="Decrease",(Operating_Exp!$D$12*(1-BHU_Cost!$E$35)+Operating_Exp!#REF!),(Operating_Exp!$D$12*(1+BHU_Cost!$E$35)+Operating_Exp!#REF!))</f>
        <v>#REF!</v>
      </c>
      <c r="D44" s="49" t="e">
        <f>IF($D$35="Decrease",(Operating_Exp!$D$12*(1-BHU_Cost!$E$35)+Operating_Exp!#REF!),(Operating_Exp!$D$12*(1+BHU_Cost!$E$35)+Operating_Exp!#REF!))</f>
        <v>#REF!</v>
      </c>
      <c r="E44" s="49" t="e">
        <f>IF($D$35="Decrease",(Operating_Exp!$D$12*(1-BHU_Cost!$E$35)+Operating_Exp!#REF!),(Operating_Exp!$D$12*(1+BHU_Cost!$E$35)+Operating_Exp!#REF!))</f>
        <v>#REF!</v>
      </c>
      <c r="F44" s="49" t="e">
        <f>IF($D$35="Decrease",(Operating_Exp!$D$12*(1-BHU_Cost!$E$35)+Operating_Exp!#REF!),(Operating_Exp!$D$12*(1+BHU_Cost!$E$35)+Operating_Exp!#REF!))</f>
        <v>#REF!</v>
      </c>
    </row>
    <row r="45" spans="2:10" x14ac:dyDescent="0.3">
      <c r="B45" s="123" t="str">
        <f>B10</f>
        <v>Total</v>
      </c>
      <c r="C45" s="124" t="e">
        <f>SUM(C41:C44)</f>
        <v>#REF!</v>
      </c>
      <c r="D45" s="124" t="e">
        <f t="shared" ref="D45:F45" si="8">SUM(D41:D44)</f>
        <v>#REF!</v>
      </c>
      <c r="E45" s="124" t="e">
        <f t="shared" si="8"/>
        <v>#REF!</v>
      </c>
      <c r="F45" s="124" t="e">
        <f t="shared" si="8"/>
        <v>#REF!</v>
      </c>
    </row>
    <row r="46" spans="2:10" x14ac:dyDescent="0.3">
      <c r="B46" s="126" t="s">
        <v>615</v>
      </c>
      <c r="C46" s="124" t="e">
        <f>(C50*1.075)+C51</f>
        <v>#REF!</v>
      </c>
      <c r="D46" s="124" t="e">
        <f t="shared" ref="D46:F46" si="9">(D50*1.075)+D51</f>
        <v>#REF!</v>
      </c>
      <c r="E46" s="124" t="e">
        <f t="shared" si="9"/>
        <v>#REF!</v>
      </c>
      <c r="F46" s="124" t="e">
        <f t="shared" si="9"/>
        <v>#REF!</v>
      </c>
    </row>
    <row r="47" spans="2:10" x14ac:dyDescent="0.3">
      <c r="B47" s="126" t="s">
        <v>616</v>
      </c>
      <c r="C47" s="124" t="e">
        <f>(C50*0.925)+C51</f>
        <v>#REF!</v>
      </c>
      <c r="D47" s="124" t="e">
        <f t="shared" ref="D47:F47" si="10">(D50*0.925)+D51</f>
        <v>#REF!</v>
      </c>
      <c r="E47" s="124" t="e">
        <f t="shared" si="10"/>
        <v>#REF!</v>
      </c>
      <c r="F47" s="124" t="e">
        <f t="shared" si="10"/>
        <v>#REF!</v>
      </c>
    </row>
    <row r="49" spans="2:21" x14ac:dyDescent="0.3">
      <c r="B49" s="123" t="s">
        <v>602</v>
      </c>
      <c r="C49" s="125" t="s">
        <v>572</v>
      </c>
      <c r="D49" s="125" t="s">
        <v>572</v>
      </c>
      <c r="E49" s="125" t="s">
        <v>572</v>
      </c>
      <c r="F49" s="125" t="s">
        <v>572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3">
      <c r="B50" s="46" t="s">
        <v>598</v>
      </c>
      <c r="C50" s="49" t="e">
        <f>SUM(C42:C43,Operating_Exp!#REF!)</f>
        <v>#REF!</v>
      </c>
      <c r="D50" s="49" t="e">
        <f>SUM(D42:D43,Operating_Exp!#REF!)</f>
        <v>#REF!</v>
      </c>
      <c r="E50" s="49" t="e">
        <f>SUM(E42:E43,Operating_Exp!#REF!)</f>
        <v>#REF!</v>
      </c>
      <c r="F50" s="49" t="e">
        <f>SUM(F42:F43,Operating_Exp!#REF!)</f>
        <v>#REF!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3">
      <c r="B51" s="46" t="s">
        <v>597</v>
      </c>
      <c r="C51" s="49">
        <f>C41+Operating_Exp!$D$12</f>
        <v>55350</v>
      </c>
      <c r="D51" s="49">
        <f>D41+Operating_Exp!$D$12</f>
        <v>55350</v>
      </c>
      <c r="E51" s="49">
        <f>E41+Operating_Exp!$D$12</f>
        <v>55350</v>
      </c>
      <c r="F51" s="49">
        <f>F41+Operating_Exp!$D$12</f>
        <v>55350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3">
      <c r="B52" s="123" t="s">
        <v>160</v>
      </c>
      <c r="C52" s="126" t="e">
        <f>SUM(C50:C51)</f>
        <v>#REF!</v>
      </c>
      <c r="D52" s="126" t="e">
        <f t="shared" ref="D52" si="11">SUM(D50:D51)</f>
        <v>#REF!</v>
      </c>
      <c r="E52" s="126" t="e">
        <f t="shared" ref="E52" si="12">SUM(E50:E51)</f>
        <v>#REF!</v>
      </c>
      <c r="F52" s="126" t="e">
        <f t="shared" ref="F52" si="13">SUM(F50:F51)</f>
        <v>#REF!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3"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3">
      <c r="B54" s="123" t="s">
        <v>601</v>
      </c>
      <c r="C54" s="125" t="s">
        <v>572</v>
      </c>
      <c r="D54" s="125" t="s">
        <v>572</v>
      </c>
      <c r="E54" s="125" t="s">
        <v>572</v>
      </c>
      <c r="F54" s="125" t="s">
        <v>572</v>
      </c>
      <c r="H54" s="44" t="s">
        <v>623</v>
      </c>
      <c r="I54" s="121"/>
      <c r="J54" s="122" t="e">
        <f>C26</f>
        <v>#REF!</v>
      </c>
      <c r="K54" s="122" t="e">
        <f>D26</f>
        <v>#REF!</v>
      </c>
      <c r="L54" s="122" t="e">
        <f>E26</f>
        <v>#REF!</v>
      </c>
      <c r="M54" s="122" t="e">
        <f>F26</f>
        <v>#REF!</v>
      </c>
      <c r="N54" s="122" t="e">
        <f>#REF!</f>
        <v>#REF!</v>
      </c>
      <c r="O54" s="121" t="s">
        <v>626</v>
      </c>
      <c r="P54" s="44"/>
      <c r="Q54" s="44"/>
      <c r="R54" s="44"/>
      <c r="S54" s="44"/>
      <c r="T54" s="44"/>
      <c r="U54" s="44"/>
    </row>
    <row r="55" spans="2:21" x14ac:dyDescent="0.3">
      <c r="B55" s="49" t="s">
        <v>605</v>
      </c>
      <c r="C55" s="49" t="e">
        <f>C50/C38</f>
        <v>#REF!</v>
      </c>
      <c r="D55" s="49" t="e">
        <f>D50/D38</f>
        <v>#REF!</v>
      </c>
      <c r="E55" s="49" t="e">
        <f>E50/E38</f>
        <v>#REF!</v>
      </c>
      <c r="F55" s="49" t="e">
        <f>F50/F38</f>
        <v>#REF!</v>
      </c>
      <c r="H55" s="44" t="s">
        <v>624</v>
      </c>
      <c r="I55" s="121"/>
      <c r="J55" s="122" t="e">
        <f>C58</f>
        <v>#REF!</v>
      </c>
      <c r="K55" s="122" t="e">
        <f>D58</f>
        <v>#REF!</v>
      </c>
      <c r="L55" s="122" t="e">
        <f>E58</f>
        <v>#REF!</v>
      </c>
      <c r="M55" s="122" t="e">
        <f>F58</f>
        <v>#REF!</v>
      </c>
      <c r="N55" s="122" t="e">
        <f>#REF!</f>
        <v>#REF!</v>
      </c>
      <c r="O55" s="121" t="s">
        <v>625</v>
      </c>
      <c r="P55" s="44"/>
      <c r="Q55" s="44"/>
      <c r="R55" s="44"/>
      <c r="S55" s="44"/>
      <c r="T55" s="44"/>
      <c r="U55" s="44"/>
    </row>
    <row r="56" spans="2:21" x14ac:dyDescent="0.3">
      <c r="B56" s="49" t="s">
        <v>606</v>
      </c>
      <c r="C56" s="49" t="e">
        <f>C51/C38</f>
        <v>#REF!</v>
      </c>
      <c r="D56" s="49" t="e">
        <f>D51/D38</f>
        <v>#REF!</v>
      </c>
      <c r="E56" s="49" t="e">
        <f>E51/E38</f>
        <v>#REF!</v>
      </c>
      <c r="F56" s="49" t="e">
        <f>F51/F38</f>
        <v>#REF!</v>
      </c>
      <c r="H56" s="44"/>
      <c r="I56" s="44"/>
      <c r="J56" s="116" t="e">
        <f>C28</f>
        <v>#REF!</v>
      </c>
      <c r="K56" s="116" t="e">
        <f>D28</f>
        <v>#REF!</v>
      </c>
      <c r="L56" s="116" t="e">
        <f>E28</f>
        <v>#REF!</v>
      </c>
      <c r="M56" s="116" t="e">
        <f>F28</f>
        <v>#REF!</v>
      </c>
      <c r="N56" s="116" t="e">
        <f>#REF!</f>
        <v>#REF!</v>
      </c>
      <c r="O56" s="44" t="s">
        <v>627</v>
      </c>
      <c r="P56" s="44"/>
      <c r="Q56" s="44"/>
      <c r="R56" s="44"/>
      <c r="S56" s="44"/>
      <c r="T56" s="44"/>
      <c r="U56" s="44"/>
    </row>
    <row r="57" spans="2:21" x14ac:dyDescent="0.3">
      <c r="B57" s="174" t="s">
        <v>607</v>
      </c>
      <c r="C57" s="141" t="e">
        <f>C45/C38</f>
        <v>#REF!</v>
      </c>
      <c r="D57" s="141" t="e">
        <f>D45/D38</f>
        <v>#REF!</v>
      </c>
      <c r="E57" s="141" t="e">
        <f>E45/E38</f>
        <v>#REF!</v>
      </c>
      <c r="F57" s="141" t="e">
        <f>F45/F38</f>
        <v>#REF!</v>
      </c>
      <c r="H57" s="44"/>
      <c r="I57" s="44"/>
      <c r="J57" s="116" t="e">
        <f>C60</f>
        <v>#REF!</v>
      </c>
      <c r="K57" s="116" t="e">
        <f>D60</f>
        <v>#REF!</v>
      </c>
      <c r="L57" s="116" t="e">
        <f>E60</f>
        <v>#REF!</v>
      </c>
      <c r="M57" s="116" t="e">
        <f>F60</f>
        <v>#REF!</v>
      </c>
      <c r="N57" s="116" t="e">
        <f>#REF!</f>
        <v>#REF!</v>
      </c>
      <c r="O57" s="44" t="s">
        <v>628</v>
      </c>
      <c r="P57" s="44"/>
      <c r="Q57" s="44"/>
      <c r="R57" s="44"/>
      <c r="S57" s="44"/>
      <c r="T57" s="44"/>
      <c r="U57" s="44"/>
    </row>
    <row r="58" spans="2:21" x14ac:dyDescent="0.3">
      <c r="B58" s="175"/>
      <c r="C58" s="142" t="e">
        <f>C57/ex_usd</f>
        <v>#REF!</v>
      </c>
      <c r="D58" s="142" t="e">
        <f>D57/ex_usd</f>
        <v>#REF!</v>
      </c>
      <c r="E58" s="142" t="e">
        <f>E57/ex_usd</f>
        <v>#REF!</v>
      </c>
      <c r="F58" s="142" t="e">
        <f>F57/ex_usd</f>
        <v>#REF!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60" spans="2:21" x14ac:dyDescent="0.3">
      <c r="B60" s="123" t="str">
        <f>B28</f>
        <v>Capacity Utilisation</v>
      </c>
      <c r="C60" s="143" t="e">
        <f>#REF!</f>
        <v>#REF!</v>
      </c>
      <c r="D60" s="143" t="e">
        <f>#REF!</f>
        <v>#REF!</v>
      </c>
      <c r="E60" s="143" t="e">
        <f>#REF!</f>
        <v>#REF!</v>
      </c>
      <c r="F60" s="143" t="e">
        <f>#REF!</f>
        <v>#REF!</v>
      </c>
    </row>
    <row r="61" spans="2:21" hidden="1" x14ac:dyDescent="0.3">
      <c r="C61" s="51" t="e">
        <f>#REF!</f>
        <v>#REF!</v>
      </c>
      <c r="D61" s="51" t="e">
        <f>#REF!</f>
        <v>#REF!</v>
      </c>
      <c r="E61" s="51" t="e">
        <f>#REF!</f>
        <v>#REF!</v>
      </c>
      <c r="F61" s="51" t="e">
        <f>#REF!</f>
        <v>#REF!</v>
      </c>
    </row>
    <row r="62" spans="2:21" hidden="1" x14ac:dyDescent="0.3">
      <c r="C62" s="109" t="e">
        <f>C61/C38</f>
        <v>#REF!</v>
      </c>
      <c r="D62" s="109" t="e">
        <f>D61/D38</f>
        <v>#REF!</v>
      </c>
      <c r="E62" s="109" t="e">
        <f>E61/E38</f>
        <v>#REF!</v>
      </c>
      <c r="F62" s="109" t="e">
        <f>F61/F38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7:B58"/>
    <mergeCell ref="B14:B15"/>
    <mergeCell ref="B2:F2"/>
    <mergeCell ref="B33:D33"/>
    <mergeCell ref="B37:F37"/>
    <mergeCell ref="B25:B26"/>
    <mergeCell ref="B34:C34"/>
    <mergeCell ref="B35:C35"/>
    <mergeCell ref="B31:F31"/>
  </mergeCells>
  <dataValidations count="6">
    <dataValidation type="list" allowBlank="1" showInputMessage="1" showErrorMessage="1" sqref="D39">
      <formula1>$S$5:$S$8</formula1>
    </dataValidation>
    <dataValidation type="list" allowBlank="1" showInputMessage="1" showErrorMessage="1" sqref="E36">
      <formula1>$S$4:$S$10</formula1>
    </dataValidation>
    <dataValidation type="list" allowBlank="1" showInputMessage="1" showErrorMessage="1" promptTitle="Coverage" prompt="Select increase in coverage" sqref="E33">
      <formula1>$S$4:$S$10</formula1>
    </dataValidation>
    <dataValidation allowBlank="1" showInputMessage="1" showErrorMessage="1" promptTitle="Salaries" prompt="Enter (%) change in salaries" sqref="E34"/>
    <dataValidation allowBlank="1" showInputMessage="1" showErrorMessage="1" promptTitle="Operational Cost" prompt="Enter (%) change  in operational cost" sqref="E35"/>
    <dataValidation type="list" allowBlank="1" showInputMessage="1" showErrorMessage="1" promptTitle="Salaries" prompt="Select appropriate option" sqref="D34:D35">
      <formula1>$N$6:$N$8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M122"/>
  <sheetViews>
    <sheetView showGridLines="0" topLeftCell="A45" zoomScale="115" zoomScaleNormal="115" workbookViewId="0">
      <selection activeCell="B73" sqref="B73"/>
    </sheetView>
  </sheetViews>
  <sheetFormatPr defaultRowHeight="15" x14ac:dyDescent="0.25"/>
  <cols>
    <col min="2" max="2" width="58.28515625" bestFit="1" customWidth="1"/>
    <col min="3" max="3" width="8.140625" bestFit="1" customWidth="1"/>
    <col min="4" max="4" width="11.28515625" bestFit="1" customWidth="1"/>
    <col min="5" max="5" width="10.42578125" hidden="1" customWidth="1"/>
    <col min="6" max="7" width="10.42578125" bestFit="1" customWidth="1"/>
    <col min="8" max="8" width="8.42578125" bestFit="1" customWidth="1"/>
    <col min="9" max="9" width="8.5703125" bestFit="1" customWidth="1"/>
    <col min="10" max="10" width="8.28515625" bestFit="1" customWidth="1"/>
    <col min="11" max="11" width="10.42578125" bestFit="1" customWidth="1"/>
    <col min="12" max="12" width="8.7109375" style="1" hidden="1" customWidth="1"/>
    <col min="13" max="13" width="10.42578125" style="1" bestFit="1" customWidth="1"/>
  </cols>
  <sheetData>
    <row r="3" spans="2:13" ht="15.75" customHeight="1" x14ac:dyDescent="0.25">
      <c r="B3" s="216" t="s">
        <v>23</v>
      </c>
      <c r="C3" s="215" t="s">
        <v>24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2:13" ht="30" x14ac:dyDescent="0.25">
      <c r="B4" s="216"/>
      <c r="C4" s="7" t="s">
        <v>137</v>
      </c>
      <c r="D4" s="7" t="s">
        <v>246</v>
      </c>
      <c r="E4" s="7" t="s">
        <v>139</v>
      </c>
      <c r="F4" s="7" t="s">
        <v>141</v>
      </c>
      <c r="G4" s="7" t="s">
        <v>142</v>
      </c>
      <c r="H4" s="8" t="s">
        <v>134</v>
      </c>
      <c r="I4" s="8" t="s">
        <v>143</v>
      </c>
      <c r="J4" s="7" t="s">
        <v>135</v>
      </c>
      <c r="K4" s="7" t="s">
        <v>144</v>
      </c>
      <c r="L4" s="9" t="s">
        <v>138</v>
      </c>
      <c r="M4" s="9" t="s">
        <v>140</v>
      </c>
    </row>
    <row r="5" spans="2:13" x14ac:dyDescent="0.25">
      <c r="B5" s="3" t="s">
        <v>25</v>
      </c>
      <c r="C5" s="23">
        <f>SUM(C6:C9)</f>
        <v>10</v>
      </c>
      <c r="D5" s="23">
        <f t="shared" ref="D5:M5" si="0">SUM(D6:D9)</f>
        <v>80</v>
      </c>
      <c r="E5" s="23">
        <f t="shared" si="0"/>
        <v>0</v>
      </c>
      <c r="F5" s="23">
        <f t="shared" si="0"/>
        <v>15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</row>
    <row r="6" spans="2:13" x14ac:dyDescent="0.25">
      <c r="B6" s="4" t="s">
        <v>26</v>
      </c>
      <c r="C6" s="17">
        <v>0</v>
      </c>
      <c r="D6" s="17">
        <v>20</v>
      </c>
      <c r="E6" s="17">
        <v>0</v>
      </c>
      <c r="F6" s="17">
        <v>15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2:13" x14ac:dyDescent="0.25">
      <c r="B7" s="4" t="s">
        <v>28</v>
      </c>
      <c r="C7" s="17">
        <v>0</v>
      </c>
      <c r="D7" s="17">
        <v>20</v>
      </c>
      <c r="E7" s="17">
        <v>0</v>
      </c>
      <c r="F7" s="25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2:13" x14ac:dyDescent="0.25">
      <c r="B8" s="4" t="s">
        <v>29</v>
      </c>
      <c r="C8" s="17">
        <v>10</v>
      </c>
      <c r="D8" s="17">
        <v>20</v>
      </c>
      <c r="E8" s="17">
        <v>0</v>
      </c>
      <c r="F8" s="25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2:13" x14ac:dyDescent="0.25">
      <c r="B9" s="4" t="s">
        <v>30</v>
      </c>
      <c r="C9" s="17">
        <v>0</v>
      </c>
      <c r="D9" s="17">
        <v>20</v>
      </c>
      <c r="E9" s="17">
        <v>0</v>
      </c>
      <c r="F9" s="25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2:13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x14ac:dyDescent="0.25">
      <c r="B12" s="5" t="s">
        <v>31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x14ac:dyDescent="0.25">
      <c r="B13" s="4" t="s">
        <v>32</v>
      </c>
      <c r="C13" s="15">
        <v>0</v>
      </c>
      <c r="D13" s="15">
        <v>120</v>
      </c>
      <c r="E13" s="15">
        <v>0</v>
      </c>
      <c r="F13" s="15">
        <v>0</v>
      </c>
      <c r="G13" s="15">
        <v>0</v>
      </c>
      <c r="H13" s="15">
        <v>0</v>
      </c>
      <c r="I13" s="15">
        <v>120</v>
      </c>
      <c r="J13" s="15">
        <v>0</v>
      </c>
      <c r="K13" s="15">
        <v>0</v>
      </c>
      <c r="L13" s="27">
        <v>0</v>
      </c>
      <c r="M13" s="27">
        <v>0</v>
      </c>
    </row>
    <row r="14" spans="2:13" x14ac:dyDescent="0.25">
      <c r="B14" s="4" t="s">
        <v>33</v>
      </c>
      <c r="C14" s="15">
        <v>15</v>
      </c>
      <c r="D14" s="15">
        <v>120</v>
      </c>
      <c r="E14" s="15">
        <v>0</v>
      </c>
      <c r="F14" s="15">
        <v>0</v>
      </c>
      <c r="G14" s="15">
        <v>0</v>
      </c>
      <c r="H14" s="15">
        <v>0</v>
      </c>
      <c r="I14" s="15">
        <v>120</v>
      </c>
      <c r="J14" s="15">
        <v>0</v>
      </c>
      <c r="K14" s="15">
        <v>0</v>
      </c>
      <c r="L14" s="27">
        <v>0</v>
      </c>
      <c r="M14" s="27">
        <v>0</v>
      </c>
    </row>
    <row r="15" spans="2:13" x14ac:dyDescent="0.25">
      <c r="B15" s="5" t="s">
        <v>255</v>
      </c>
      <c r="C15" s="26">
        <f>SUM(C16:C17)</f>
        <v>10</v>
      </c>
      <c r="D15" s="26">
        <f t="shared" ref="D15:M15" si="1">SUM(D16:D17)</f>
        <v>45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2:13" x14ac:dyDescent="0.25">
      <c r="B16" s="4" t="s">
        <v>26</v>
      </c>
      <c r="C16" s="15">
        <v>10</v>
      </c>
      <c r="D16" s="15">
        <v>20</v>
      </c>
      <c r="E16" s="15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x14ac:dyDescent="0.25">
      <c r="B17" s="4" t="s">
        <v>28</v>
      </c>
      <c r="C17" s="27">
        <v>0</v>
      </c>
      <c r="D17" s="15">
        <v>25</v>
      </c>
      <c r="E17" s="15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idden="1" x14ac:dyDescent="0.25">
      <c r="B18" s="4" t="s">
        <v>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</row>
    <row r="19" spans="2:13" hidden="1" x14ac:dyDescent="0.25">
      <c r="B19" s="4" t="s">
        <v>261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</row>
    <row r="20" spans="2:13" x14ac:dyDescent="0.25">
      <c r="B20" s="5" t="s">
        <v>36</v>
      </c>
      <c r="C20" s="26">
        <f>SUM(C22:C23)</f>
        <v>5</v>
      </c>
      <c r="D20" s="26">
        <f t="shared" ref="D20:M20" si="2">SUM(D22:D23)</f>
        <v>30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</row>
    <row r="21" spans="2:13" hidden="1" x14ac:dyDescent="0.25">
      <c r="B21" s="4" t="s">
        <v>37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/>
    </row>
    <row r="22" spans="2:13" x14ac:dyDescent="0.25">
      <c r="B22" s="4" t="s">
        <v>38</v>
      </c>
      <c r="C22" s="16">
        <v>5</v>
      </c>
      <c r="D22" s="16">
        <v>15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60" x14ac:dyDescent="0.25">
      <c r="B23" s="6" t="s">
        <v>262</v>
      </c>
      <c r="C23" s="16">
        <v>0</v>
      </c>
      <c r="D23" s="16">
        <v>15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x14ac:dyDescent="0.25">
      <c r="B24" s="5" t="s">
        <v>39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x14ac:dyDescent="0.25">
      <c r="B25" s="4" t="s">
        <v>40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>
        <v>0</v>
      </c>
    </row>
    <row r="26" spans="2:13" x14ac:dyDescent="0.25">
      <c r="B26" s="24" t="s">
        <v>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x14ac:dyDescent="0.25">
      <c r="B27" s="4" t="s">
        <v>42</v>
      </c>
      <c r="C27" s="15">
        <v>0</v>
      </c>
      <c r="D27" s="15">
        <f>10+5</f>
        <v>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/>
      <c r="M27" s="15"/>
    </row>
    <row r="28" spans="2:13" x14ac:dyDescent="0.25">
      <c r="B28" s="4" t="s">
        <v>43</v>
      </c>
      <c r="C28" s="15">
        <f>15+5</f>
        <v>20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/>
      <c r="M28" s="15"/>
    </row>
    <row r="29" spans="2:13" hidden="1" x14ac:dyDescent="0.25">
      <c r="B29" s="4" t="s">
        <v>44</v>
      </c>
      <c r="C29" s="15">
        <v>35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</row>
    <row r="30" spans="2:13" hidden="1" x14ac:dyDescent="0.25">
      <c r="B30" s="4" t="s">
        <v>45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</row>
    <row r="31" spans="2:13" x14ac:dyDescent="0.25">
      <c r="B31" s="4" t="s">
        <v>46</v>
      </c>
      <c r="C31" s="15">
        <f>15+5</f>
        <v>20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</row>
    <row r="32" spans="2:13" x14ac:dyDescent="0.25">
      <c r="B32" s="4" t="s">
        <v>47</v>
      </c>
      <c r="C32" s="15">
        <f>15+5</f>
        <v>20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</row>
    <row r="33" spans="2:13" hidden="1" x14ac:dyDescent="0.25">
      <c r="B33" s="4" t="s">
        <v>48</v>
      </c>
      <c r="C33" s="15">
        <v>10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</row>
    <row r="34" spans="2:13" x14ac:dyDescent="0.25">
      <c r="B34" s="24" t="s">
        <v>49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</row>
    <row r="35" spans="2:13" x14ac:dyDescent="0.25">
      <c r="B35" s="30" t="s">
        <v>271</v>
      </c>
      <c r="C35" s="15">
        <v>0</v>
      </c>
      <c r="D35" s="15">
        <v>15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</row>
    <row r="36" spans="2:13" x14ac:dyDescent="0.25">
      <c r="B36" s="30" t="s">
        <v>270</v>
      </c>
      <c r="C36" s="15">
        <v>0</v>
      </c>
      <c r="D36" s="15">
        <v>15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</row>
    <row r="37" spans="2:13" hidden="1" x14ac:dyDescent="0.25">
      <c r="B37" s="4" t="s">
        <v>50</v>
      </c>
      <c r="C37" s="15">
        <v>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</row>
    <row r="38" spans="2:13" x14ac:dyDescent="0.25">
      <c r="B38" s="4" t="s">
        <v>51</v>
      </c>
      <c r="C38" s="15">
        <v>15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</row>
    <row r="39" spans="2:13" hidden="1" x14ac:dyDescent="0.25">
      <c r="B39" s="4" t="s">
        <v>52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</row>
    <row r="40" spans="2:13" x14ac:dyDescent="0.25">
      <c r="B40" s="4" t="s">
        <v>53</v>
      </c>
      <c r="C40" s="15">
        <v>15</v>
      </c>
      <c r="D40" s="15">
        <v>0</v>
      </c>
      <c r="E40" s="15">
        <v>0</v>
      </c>
      <c r="F40" s="15">
        <v>10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</row>
    <row r="41" spans="2:13" hidden="1" x14ac:dyDescent="0.25">
      <c r="B41" s="4" t="s">
        <v>54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</row>
    <row r="42" spans="2:13" x14ac:dyDescent="0.25">
      <c r="B42" s="4" t="s">
        <v>55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</row>
    <row r="43" spans="2:13" x14ac:dyDescent="0.25">
      <c r="B43" s="5" t="s">
        <v>56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x14ac:dyDescent="0.25">
      <c r="B44" s="4" t="s">
        <v>57</v>
      </c>
      <c r="C44" s="15">
        <v>0</v>
      </c>
      <c r="D44" s="15">
        <v>15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</row>
    <row r="45" spans="2:13" x14ac:dyDescent="0.25">
      <c r="B45" s="5" t="s">
        <v>58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idden="1" x14ac:dyDescent="0.25">
      <c r="B46" s="4" t="s">
        <v>59</v>
      </c>
      <c r="C46" s="15">
        <v>0</v>
      </c>
      <c r="D46" s="15">
        <v>15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</row>
    <row r="47" spans="2:13" hidden="1" x14ac:dyDescent="0.25">
      <c r="B47" s="30" t="s">
        <v>60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</row>
    <row r="48" spans="2:13" x14ac:dyDescent="0.25">
      <c r="B48" s="4" t="s">
        <v>61</v>
      </c>
      <c r="C48" s="15">
        <v>0</v>
      </c>
      <c r="D48" s="15">
        <v>30</v>
      </c>
      <c r="E48" s="15">
        <v>0</v>
      </c>
      <c r="F48" s="15">
        <v>10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</row>
    <row r="49" spans="2:13" x14ac:dyDescent="0.25">
      <c r="B49" s="4" t="s">
        <v>62</v>
      </c>
      <c r="C49" s="15">
        <v>0</v>
      </c>
      <c r="D49" s="15">
        <v>35</v>
      </c>
      <c r="E49" s="15">
        <v>0</v>
      </c>
      <c r="F49" s="15">
        <v>10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</row>
    <row r="50" spans="2:13" x14ac:dyDescent="0.25">
      <c r="B50" s="4" t="s">
        <v>63</v>
      </c>
      <c r="C50" s="15">
        <v>0</v>
      </c>
      <c r="D50" s="15">
        <v>30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</row>
    <row r="51" spans="2:13" hidden="1" x14ac:dyDescent="0.25">
      <c r="B51" s="5" t="s">
        <v>64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3" hidden="1" x14ac:dyDescent="0.25">
      <c r="B52" s="4" t="s">
        <v>65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</row>
    <row r="53" spans="2:13" hidden="1" x14ac:dyDescent="0.25">
      <c r="B53" s="4" t="s">
        <v>66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</row>
    <row r="54" spans="2:13" hidden="1" x14ac:dyDescent="0.25">
      <c r="B54" s="4" t="s">
        <v>67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</row>
    <row r="55" spans="2:13" hidden="1" x14ac:dyDescent="0.25">
      <c r="B55" s="5" t="s">
        <v>68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idden="1" x14ac:dyDescent="0.25">
      <c r="B56" s="4" t="s">
        <v>69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</row>
    <row r="57" spans="2:13" hidden="1" x14ac:dyDescent="0.25">
      <c r="B57" s="4" t="s">
        <v>70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</row>
    <row r="58" spans="2:13" hidden="1" x14ac:dyDescent="0.25">
      <c r="B58" s="4" t="s">
        <v>71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</row>
    <row r="59" spans="2:13" hidden="1" x14ac:dyDescent="0.25">
      <c r="B59" s="4" t="s">
        <v>72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</row>
    <row r="60" spans="2:13" hidden="1" x14ac:dyDescent="0.25">
      <c r="B60" s="4" t="s">
        <v>73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</row>
    <row r="61" spans="2:13" hidden="1" x14ac:dyDescent="0.25">
      <c r="B61" s="4" t="s">
        <v>74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</row>
    <row r="62" spans="2:13" hidden="1" x14ac:dyDescent="0.25">
      <c r="B62" s="4" t="s">
        <v>75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/>
    </row>
    <row r="63" spans="2:13" x14ac:dyDescent="0.25">
      <c r="B63" s="5" t="s">
        <v>76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x14ac:dyDescent="0.25">
      <c r="B64" s="4" t="s">
        <v>77</v>
      </c>
      <c r="C64" s="15">
        <v>10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/>
    </row>
    <row r="65" spans="2:13" x14ac:dyDescent="0.25">
      <c r="B65" s="4" t="s">
        <v>78</v>
      </c>
      <c r="C65" s="15">
        <v>10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</row>
    <row r="66" spans="2:13" x14ac:dyDescent="0.25">
      <c r="B66" s="4" t="s">
        <v>79</v>
      </c>
      <c r="C66" s="15">
        <v>20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</row>
    <row r="67" spans="2:13" x14ac:dyDescent="0.25">
      <c r="B67" s="4" t="s">
        <v>80</v>
      </c>
      <c r="C67" s="15">
        <v>20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</row>
    <row r="68" spans="2:13" x14ac:dyDescent="0.25">
      <c r="B68" s="4" t="s">
        <v>81</v>
      </c>
      <c r="C68" s="15">
        <v>15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</row>
    <row r="69" spans="2:13" x14ac:dyDescent="0.25">
      <c r="B69" s="4" t="s">
        <v>82</v>
      </c>
      <c r="C69" s="15">
        <v>15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/>
    </row>
    <row r="70" spans="2:13" x14ac:dyDescent="0.25">
      <c r="B70" s="4" t="s">
        <v>51</v>
      </c>
      <c r="C70" s="15">
        <v>15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/>
    </row>
    <row r="71" spans="2:13" x14ac:dyDescent="0.25">
      <c r="B71" s="4" t="s">
        <v>83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/>
      <c r="M71" s="15"/>
    </row>
    <row r="72" spans="2:13" x14ac:dyDescent="0.25">
      <c r="B72" s="4" t="s">
        <v>84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/>
      <c r="M72" s="15"/>
    </row>
    <row r="73" spans="2:13" x14ac:dyDescent="0.25">
      <c r="B73" s="4" t="s">
        <v>263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/>
    </row>
    <row r="74" spans="2:13" x14ac:dyDescent="0.25">
      <c r="B74" s="4" t="s">
        <v>264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2:13" x14ac:dyDescent="0.25">
      <c r="B75" s="4" t="s">
        <v>85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2:13" x14ac:dyDescent="0.25">
      <c r="B76" s="4" t="s">
        <v>86</v>
      </c>
      <c r="C76" s="15">
        <v>10</v>
      </c>
      <c r="D76" s="15">
        <v>0</v>
      </c>
      <c r="E76" s="15">
        <v>0</v>
      </c>
      <c r="F76" s="15">
        <v>10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2:13" x14ac:dyDescent="0.25">
      <c r="B77" s="4" t="s">
        <v>87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</row>
    <row r="78" spans="2:13" x14ac:dyDescent="0.25">
      <c r="B78" s="4" t="s">
        <v>88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/>
      <c r="M78" s="15"/>
    </row>
    <row r="79" spans="2:13" x14ac:dyDescent="0.25">
      <c r="B79" s="4" t="s">
        <v>89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/>
    </row>
    <row r="80" spans="2:13" x14ac:dyDescent="0.25">
      <c r="B80" s="4" t="s">
        <v>90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5"/>
    </row>
    <row r="81" spans="2:13" x14ac:dyDescent="0.25">
      <c r="B81" s="4" t="s">
        <v>91</v>
      </c>
      <c r="C81" s="15">
        <v>10</v>
      </c>
      <c r="D81" s="15">
        <v>20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/>
      <c r="M81" s="15"/>
    </row>
    <row r="82" spans="2:13" x14ac:dyDescent="0.25">
      <c r="B82" s="4" t="s">
        <v>92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/>
      <c r="M82" s="15"/>
    </row>
    <row r="83" spans="2:13" x14ac:dyDescent="0.25">
      <c r="B83" s="4" t="s">
        <v>93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/>
      <c r="M83" s="15"/>
    </row>
    <row r="84" spans="2:13" x14ac:dyDescent="0.25">
      <c r="B84" s="30" t="s">
        <v>94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/>
      <c r="M84" s="15"/>
    </row>
    <row r="85" spans="2:13" x14ac:dyDescent="0.25">
      <c r="B85" s="4" t="s">
        <v>95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/>
      <c r="M85" s="15"/>
    </row>
    <row r="86" spans="2:13" x14ac:dyDescent="0.25">
      <c r="B86" s="4" t="s">
        <v>96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/>
      <c r="M86" s="15"/>
    </row>
    <row r="87" spans="2:13" x14ac:dyDescent="0.25">
      <c r="B87" s="5" t="s">
        <v>97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5">
      <c r="B88" s="4" t="s">
        <v>98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/>
    </row>
    <row r="89" spans="2:13" x14ac:dyDescent="0.25">
      <c r="B89" s="4" t="s">
        <v>99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/>
    </row>
    <row r="90" spans="2:13" x14ac:dyDescent="0.25">
      <c r="B90" s="4" t="s">
        <v>100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/>
      <c r="M90" s="15"/>
    </row>
    <row r="91" spans="2:13" x14ac:dyDescent="0.25">
      <c r="B91" s="4" t="s">
        <v>101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/>
      <c r="M91" s="15"/>
    </row>
    <row r="92" spans="2:13" x14ac:dyDescent="0.25">
      <c r="B92" s="4" t="s">
        <v>102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/>
    </row>
    <row r="93" spans="2:13" x14ac:dyDescent="0.25">
      <c r="B93" s="4" t="s">
        <v>103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/>
      <c r="M93" s="15"/>
    </row>
    <row r="94" spans="2:13" x14ac:dyDescent="0.25">
      <c r="B94" s="4" t="s">
        <v>104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/>
      <c r="M94" s="15"/>
    </row>
    <row r="95" spans="2:13" x14ac:dyDescent="0.25">
      <c r="B95" s="4" t="s">
        <v>105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/>
    </row>
    <row r="96" spans="2:13" x14ac:dyDescent="0.25">
      <c r="B96" s="4" t="s">
        <v>106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/>
      <c r="M96" s="15"/>
    </row>
    <row r="97" spans="2:13" x14ac:dyDescent="0.25">
      <c r="B97" s="4" t="s">
        <v>107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/>
    </row>
    <row r="98" spans="2:13" x14ac:dyDescent="0.25">
      <c r="B98" s="5" t="s">
        <v>108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x14ac:dyDescent="0.25">
      <c r="B99" s="4" t="s">
        <v>109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/>
      <c r="M99" s="15"/>
    </row>
    <row r="100" spans="2:13" x14ac:dyDescent="0.25">
      <c r="B100" s="4" t="s">
        <v>110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/>
    </row>
    <row r="101" spans="2:13" x14ac:dyDescent="0.25">
      <c r="B101" s="4" t="s">
        <v>111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/>
      <c r="M101" s="15"/>
    </row>
    <row r="102" spans="2:13" x14ac:dyDescent="0.25">
      <c r="B102" s="4" t="s">
        <v>112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/>
      <c r="M102" s="15"/>
    </row>
    <row r="103" spans="2:13" x14ac:dyDescent="0.25">
      <c r="B103" s="4" t="s">
        <v>113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/>
      <c r="M103" s="15"/>
    </row>
    <row r="104" spans="2:13" x14ac:dyDescent="0.25">
      <c r="B104" s="4" t="s">
        <v>114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/>
      <c r="M104" s="15"/>
    </row>
    <row r="105" spans="2:13" x14ac:dyDescent="0.25">
      <c r="B105" s="4" t="s">
        <v>115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/>
      <c r="M105" s="15"/>
    </row>
    <row r="106" spans="2:13" x14ac:dyDescent="0.25">
      <c r="B106" s="4" t="s">
        <v>116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/>
      <c r="M106" s="15"/>
    </row>
    <row r="107" spans="2:13" x14ac:dyDescent="0.25">
      <c r="B107" s="5" t="s">
        <v>117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x14ac:dyDescent="0.25">
      <c r="B108" s="4" t="s">
        <v>118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/>
      <c r="M108" s="15"/>
    </row>
    <row r="109" spans="2:13" x14ac:dyDescent="0.25">
      <c r="B109" s="4" t="s">
        <v>119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/>
      <c r="M109" s="15"/>
    </row>
    <row r="110" spans="2:13" x14ac:dyDescent="0.25">
      <c r="B110" s="4" t="s">
        <v>265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/>
      <c r="M110" s="15"/>
    </row>
    <row r="111" spans="2:13" x14ac:dyDescent="0.25">
      <c r="B111" s="4" t="s">
        <v>120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/>
      <c r="M111" s="15"/>
    </row>
    <row r="112" spans="2:13" x14ac:dyDescent="0.25">
      <c r="B112" s="4" t="s">
        <v>121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/>
      <c r="M112" s="15"/>
    </row>
    <row r="113" spans="2:13" x14ac:dyDescent="0.25">
      <c r="B113" s="4" t="s">
        <v>122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/>
      <c r="M113" s="15"/>
    </row>
    <row r="114" spans="2:13" x14ac:dyDescent="0.25">
      <c r="B114" s="4" t="s">
        <v>123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/>
      <c r="M114" s="15"/>
    </row>
    <row r="115" spans="2:13" x14ac:dyDescent="0.25">
      <c r="B115" s="4" t="s">
        <v>124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/>
      <c r="M115" s="15"/>
    </row>
    <row r="116" spans="2:13" x14ac:dyDescent="0.25">
      <c r="B116" s="4" t="s">
        <v>125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/>
      <c r="M116" s="15"/>
    </row>
    <row r="117" spans="2:13" x14ac:dyDescent="0.25">
      <c r="B117" s="4" t="s">
        <v>126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/>
      <c r="M117" s="15"/>
    </row>
    <row r="118" spans="2:13" x14ac:dyDescent="0.25">
      <c r="B118" s="5" t="s">
        <v>127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x14ac:dyDescent="0.25">
      <c r="B119" s="30" t="s">
        <v>128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/>
      <c r="M119" s="15"/>
    </row>
    <row r="120" spans="2:13" x14ac:dyDescent="0.25">
      <c r="B120" s="4" t="s">
        <v>129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/>
      <c r="M120" s="15"/>
    </row>
    <row r="121" spans="2:13" x14ac:dyDescent="0.25">
      <c r="B121" s="4" t="s">
        <v>130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/>
      <c r="M121" s="15"/>
    </row>
    <row r="122" spans="2:13" x14ac:dyDescent="0.25">
      <c r="B122" s="4" t="s">
        <v>131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/>
      <c r="M122" s="15"/>
    </row>
  </sheetData>
  <mergeCells count="2">
    <mergeCell ref="C3:M3"/>
    <mergeCell ref="B3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3:N67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22.85546875" style="19" hidden="1" customWidth="1"/>
    <col min="2" max="2" width="3.42578125" style="19" customWidth="1"/>
    <col min="3" max="3" width="36.5703125" style="19" bestFit="1" customWidth="1"/>
    <col min="4" max="4" width="8.140625" style="19" bestFit="1" customWidth="1"/>
    <col min="5" max="5" width="11.28515625" style="19" bestFit="1" customWidth="1"/>
    <col min="6" max="6" width="10.42578125" style="19" customWidth="1"/>
    <col min="7" max="8" width="10.42578125" style="19" bestFit="1" customWidth="1"/>
    <col min="9" max="9" width="8.42578125" style="19" customWidth="1"/>
    <col min="10" max="10" width="8.5703125" style="19" bestFit="1" customWidth="1"/>
    <col min="11" max="11" width="8.28515625" style="19" customWidth="1"/>
    <col min="12" max="12" width="10.42578125" style="19" customWidth="1"/>
    <col min="13" max="13" width="8.7109375" style="19" customWidth="1"/>
    <col min="14" max="14" width="10.42578125" style="19" bestFit="1" customWidth="1"/>
    <col min="15" max="16384" width="9.140625" style="19"/>
  </cols>
  <sheetData>
    <row r="3" spans="1:14" x14ac:dyDescent="0.25">
      <c r="C3" s="217" t="s">
        <v>303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ht="30" x14ac:dyDescent="0.25">
      <c r="C4" s="37" t="s">
        <v>23</v>
      </c>
      <c r="D4" s="7" t="s">
        <v>137</v>
      </c>
      <c r="E4" s="7" t="s">
        <v>246</v>
      </c>
      <c r="F4" s="7" t="s">
        <v>139</v>
      </c>
      <c r="G4" s="7" t="s">
        <v>141</v>
      </c>
      <c r="H4" s="7" t="s">
        <v>142</v>
      </c>
      <c r="I4" s="7" t="s">
        <v>134</v>
      </c>
      <c r="J4" s="7" t="s">
        <v>143</v>
      </c>
      <c r="K4" s="7" t="s">
        <v>135</v>
      </c>
      <c r="L4" s="7" t="s">
        <v>144</v>
      </c>
      <c r="M4" s="7" t="s">
        <v>138</v>
      </c>
      <c r="N4" s="7" t="s">
        <v>140</v>
      </c>
    </row>
    <row r="5" spans="1:14" x14ac:dyDescent="0.25">
      <c r="C5" s="32" t="s">
        <v>253</v>
      </c>
      <c r="D5" s="32">
        <v>10</v>
      </c>
      <c r="E5" s="32">
        <v>80</v>
      </c>
      <c r="F5" s="32">
        <v>10</v>
      </c>
      <c r="G5" s="32">
        <v>15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</row>
    <row r="6" spans="1:14" x14ac:dyDescent="0.25">
      <c r="C6" s="32" t="s">
        <v>257</v>
      </c>
      <c r="D6" s="32">
        <v>0</v>
      </c>
      <c r="E6" s="32">
        <v>120</v>
      </c>
      <c r="F6" s="32">
        <v>5</v>
      </c>
      <c r="G6" s="32">
        <v>0</v>
      </c>
      <c r="H6" s="32">
        <v>0</v>
      </c>
      <c r="I6" s="32">
        <v>0</v>
      </c>
      <c r="J6" s="32">
        <v>120</v>
      </c>
      <c r="K6" s="32">
        <v>0</v>
      </c>
      <c r="L6" s="32">
        <v>0</v>
      </c>
      <c r="M6" s="32">
        <v>0</v>
      </c>
      <c r="N6" s="32">
        <v>0</v>
      </c>
    </row>
    <row r="7" spans="1:14" x14ac:dyDescent="0.25">
      <c r="C7" s="32" t="s">
        <v>258</v>
      </c>
      <c r="D7" s="32">
        <v>15</v>
      </c>
      <c r="E7" s="32">
        <v>120</v>
      </c>
      <c r="F7" s="32">
        <v>5</v>
      </c>
      <c r="G7" s="32">
        <v>0</v>
      </c>
      <c r="H7" s="32">
        <v>0</v>
      </c>
      <c r="I7" s="32">
        <v>0</v>
      </c>
      <c r="J7" s="32">
        <v>120</v>
      </c>
      <c r="K7" s="32">
        <v>0</v>
      </c>
      <c r="L7" s="32">
        <v>0</v>
      </c>
      <c r="M7" s="32">
        <v>0</v>
      </c>
      <c r="N7" s="32">
        <v>0</v>
      </c>
    </row>
    <row r="8" spans="1:14" x14ac:dyDescent="0.25">
      <c r="C8" s="32" t="s">
        <v>254</v>
      </c>
      <c r="D8" s="32">
        <v>10</v>
      </c>
      <c r="E8" s="32">
        <v>45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x14ac:dyDescent="0.25">
      <c r="C9" s="32" t="s">
        <v>256</v>
      </c>
      <c r="D9" s="32">
        <v>5</v>
      </c>
      <c r="E9" s="32">
        <v>30</v>
      </c>
      <c r="F9" s="32">
        <v>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</row>
    <row r="10" spans="1:14" x14ac:dyDescent="0.2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19" t="s">
        <v>260</v>
      </c>
      <c r="C11" s="32" t="s">
        <v>259</v>
      </c>
      <c r="D11" s="32">
        <v>0</v>
      </c>
      <c r="E11" s="32">
        <v>15</v>
      </c>
      <c r="F11" s="32">
        <v>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14" x14ac:dyDescent="0.25">
      <c r="C12" s="32" t="s">
        <v>266</v>
      </c>
      <c r="D12" s="32">
        <v>20</v>
      </c>
      <c r="E12" s="32">
        <v>0</v>
      </c>
      <c r="F12" s="32">
        <v>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4" x14ac:dyDescent="0.25">
      <c r="C13" s="32" t="s">
        <v>267</v>
      </c>
      <c r="D13" s="32">
        <v>20</v>
      </c>
      <c r="E13" s="32">
        <v>0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x14ac:dyDescent="0.25">
      <c r="C14" s="32" t="s">
        <v>268</v>
      </c>
      <c r="D14" s="32">
        <v>20</v>
      </c>
      <c r="E14" s="32">
        <v>0</v>
      </c>
      <c r="F14" s="32">
        <v>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x14ac:dyDescent="0.2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19" t="s">
        <v>269</v>
      </c>
      <c r="C16" s="32" t="s">
        <v>272</v>
      </c>
      <c r="D16" s="32">
        <v>0</v>
      </c>
      <c r="E16" s="32">
        <v>15</v>
      </c>
      <c r="F16" s="32">
        <v>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spans="1:14" x14ac:dyDescent="0.25">
      <c r="C17" s="32" t="s">
        <v>273</v>
      </c>
      <c r="D17" s="32">
        <v>0</v>
      </c>
      <c r="E17" s="32">
        <v>15</v>
      </c>
      <c r="F17" s="32">
        <v>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x14ac:dyDescent="0.25">
      <c r="C18" s="32" t="s">
        <v>51</v>
      </c>
      <c r="D18" s="32">
        <v>15</v>
      </c>
      <c r="E18" s="32">
        <v>0</v>
      </c>
      <c r="F18" s="32">
        <v>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x14ac:dyDescent="0.2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C20" s="32" t="s">
        <v>274</v>
      </c>
      <c r="D20" s="32">
        <v>15</v>
      </c>
      <c r="E20" s="32">
        <v>0</v>
      </c>
      <c r="F20" s="32">
        <v>5</v>
      </c>
      <c r="G20" s="32">
        <v>10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19" t="s">
        <v>58</v>
      </c>
      <c r="C22" s="32" t="s">
        <v>281</v>
      </c>
      <c r="D22" s="32">
        <v>0</v>
      </c>
      <c r="E22" s="32">
        <v>30</v>
      </c>
      <c r="F22" s="32">
        <v>5</v>
      </c>
      <c r="G22" s="32">
        <v>10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x14ac:dyDescent="0.25">
      <c r="C23" s="32" t="s">
        <v>280</v>
      </c>
      <c r="D23" s="32">
        <v>0</v>
      </c>
      <c r="E23" s="32">
        <v>5</v>
      </c>
      <c r="F23" s="32">
        <v>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>
        <v>0</v>
      </c>
    </row>
    <row r="24" spans="1:14" x14ac:dyDescent="0.25">
      <c r="C24" s="32" t="s">
        <v>279</v>
      </c>
      <c r="D24" s="32">
        <v>0</v>
      </c>
      <c r="E24" s="32">
        <v>35</v>
      </c>
      <c r="F24" s="32">
        <v>5</v>
      </c>
      <c r="G24" s="32">
        <v>10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x14ac:dyDescent="0.25">
      <c r="C25" s="32" t="s">
        <v>278</v>
      </c>
      <c r="D25" s="32">
        <v>0</v>
      </c>
      <c r="E25" s="32">
        <v>8</v>
      </c>
      <c r="F25" s="32">
        <v>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5</v>
      </c>
      <c r="N25" s="32">
        <v>0</v>
      </c>
    </row>
    <row r="26" spans="1:14" x14ac:dyDescent="0.25">
      <c r="C26" s="32" t="s">
        <v>277</v>
      </c>
      <c r="D26" s="32">
        <v>0</v>
      </c>
      <c r="E26" s="32">
        <v>30</v>
      </c>
      <c r="F26" s="32">
        <v>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x14ac:dyDescent="0.25">
      <c r="C27" s="32" t="s">
        <v>276</v>
      </c>
      <c r="D27" s="32">
        <v>0</v>
      </c>
      <c r="E27" s="32">
        <v>5</v>
      </c>
      <c r="F27" s="32">
        <v>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x14ac:dyDescent="0.25">
      <c r="C28" s="32" t="s">
        <v>275</v>
      </c>
      <c r="D28" s="32">
        <v>0</v>
      </c>
      <c r="E28" s="32">
        <v>20</v>
      </c>
      <c r="F28" s="32">
        <v>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/>
      <c r="N28" s="32">
        <v>0</v>
      </c>
    </row>
    <row r="29" spans="1:14" x14ac:dyDescent="0.25">
      <c r="C29" s="32" t="s">
        <v>282</v>
      </c>
      <c r="D29" s="32">
        <v>0</v>
      </c>
      <c r="E29" s="32">
        <v>2</v>
      </c>
      <c r="F29" s="32">
        <v>5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/>
      <c r="N29" s="32">
        <v>0</v>
      </c>
    </row>
    <row r="30" spans="1:14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19" t="s">
        <v>283</v>
      </c>
      <c r="C31" s="32" t="s">
        <v>284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/>
      <c r="N31" s="32">
        <v>2</v>
      </c>
    </row>
    <row r="32" spans="1:14" x14ac:dyDescent="0.25">
      <c r="C32" s="32" t="s">
        <v>285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/>
      <c r="N32" s="32">
        <v>3</v>
      </c>
    </row>
    <row r="33" spans="1:14" x14ac:dyDescent="0.25">
      <c r="C33" s="32" t="s">
        <v>286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/>
      <c r="N33" s="32">
        <v>3</v>
      </c>
    </row>
    <row r="34" spans="1:14" x14ac:dyDescent="0.25">
      <c r="C34" s="32" t="s">
        <v>287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/>
      <c r="N34" s="32">
        <v>2</v>
      </c>
    </row>
    <row r="35" spans="1:14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19" t="s">
        <v>288</v>
      </c>
      <c r="C36" s="32" t="s">
        <v>77</v>
      </c>
      <c r="D36" s="32">
        <v>10</v>
      </c>
      <c r="E36" s="32">
        <v>0</v>
      </c>
      <c r="F36" s="32">
        <v>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x14ac:dyDescent="0.25">
      <c r="C37" s="32" t="s">
        <v>78</v>
      </c>
      <c r="D37" s="32">
        <v>10</v>
      </c>
      <c r="E37" s="32">
        <v>0</v>
      </c>
      <c r="F37" s="32">
        <v>5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x14ac:dyDescent="0.25">
      <c r="C38" s="32" t="s">
        <v>79</v>
      </c>
      <c r="D38" s="32">
        <v>20</v>
      </c>
      <c r="E38" s="32">
        <v>0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x14ac:dyDescent="0.25">
      <c r="C39" s="32" t="s">
        <v>80</v>
      </c>
      <c r="D39" s="32">
        <v>20</v>
      </c>
      <c r="E39" s="32">
        <v>0</v>
      </c>
      <c r="F39" s="32">
        <v>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19" t="s">
        <v>289</v>
      </c>
      <c r="C41" s="32" t="s">
        <v>81</v>
      </c>
      <c r="D41" s="32">
        <v>15</v>
      </c>
      <c r="E41" s="32">
        <v>0</v>
      </c>
      <c r="F41" s="32">
        <v>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x14ac:dyDescent="0.25">
      <c r="C42" s="32" t="s">
        <v>82</v>
      </c>
      <c r="D42" s="32">
        <v>15</v>
      </c>
      <c r="E42" s="32">
        <v>0</v>
      </c>
      <c r="F42" s="32">
        <v>5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</row>
    <row r="43" spans="1:14" x14ac:dyDescent="0.25">
      <c r="C43" s="32" t="s">
        <v>51</v>
      </c>
      <c r="D43" s="32">
        <v>15</v>
      </c>
      <c r="E43" s="32">
        <v>0</v>
      </c>
      <c r="F43" s="32">
        <v>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</row>
    <row r="44" spans="1:14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19" t="s">
        <v>290</v>
      </c>
      <c r="C45" s="32" t="s">
        <v>297</v>
      </c>
      <c r="D45" s="32">
        <v>15</v>
      </c>
      <c r="E45" s="32">
        <v>0</v>
      </c>
      <c r="F45" s="32">
        <v>0</v>
      </c>
      <c r="G45" s="32">
        <v>15</v>
      </c>
      <c r="H45" s="32">
        <v>10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x14ac:dyDescent="0.25">
      <c r="C46" s="32" t="s">
        <v>291</v>
      </c>
      <c r="D46" s="32">
        <v>10</v>
      </c>
      <c r="E46" s="32">
        <v>100</v>
      </c>
      <c r="F46" s="32">
        <v>15</v>
      </c>
      <c r="G46" s="32">
        <v>45</v>
      </c>
      <c r="H46" s="32">
        <v>10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x14ac:dyDescent="0.25">
      <c r="C47" s="32" t="s">
        <v>292</v>
      </c>
      <c r="D47" s="32">
        <v>10</v>
      </c>
      <c r="E47" s="32">
        <v>100</v>
      </c>
      <c r="F47" s="32">
        <v>15</v>
      </c>
      <c r="G47" s="32">
        <v>45</v>
      </c>
      <c r="H47" s="32">
        <v>10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19" t="s">
        <v>293</v>
      </c>
      <c r="C49" s="32" t="s">
        <v>296</v>
      </c>
      <c r="D49" s="32">
        <v>15</v>
      </c>
      <c r="E49" s="32">
        <v>0</v>
      </c>
      <c r="F49" s="32">
        <v>10</v>
      </c>
      <c r="G49" s="32">
        <v>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/>
      <c r="N49" s="32">
        <v>0</v>
      </c>
    </row>
    <row r="50" spans="1:14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19" t="s">
        <v>294</v>
      </c>
      <c r="C51" s="32" t="s">
        <v>295</v>
      </c>
      <c r="D51" s="32">
        <v>30</v>
      </c>
      <c r="E51" s="32">
        <v>0</v>
      </c>
      <c r="F51" s="32">
        <v>5</v>
      </c>
      <c r="G51" s="32">
        <v>15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  <c r="N51" s="32">
        <v>0</v>
      </c>
    </row>
    <row r="52" spans="1:14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19" t="s">
        <v>298</v>
      </c>
      <c r="C53" s="32" t="s">
        <v>299</v>
      </c>
      <c r="D53" s="32">
        <v>30</v>
      </c>
      <c r="E53" s="32">
        <v>0</v>
      </c>
      <c r="F53" s="32">
        <v>5</v>
      </c>
      <c r="G53" s="32">
        <v>10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/>
      <c r="N53" s="32">
        <v>0</v>
      </c>
    </row>
    <row r="54" spans="1:14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19" t="s">
        <v>218</v>
      </c>
      <c r="C55" s="32" t="s">
        <v>300</v>
      </c>
      <c r="D55" s="32">
        <v>30</v>
      </c>
      <c r="E55" s="32">
        <v>0</v>
      </c>
      <c r="F55" s="32">
        <v>5</v>
      </c>
      <c r="G55" s="32">
        <v>10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/>
      <c r="N55" s="32">
        <v>0</v>
      </c>
    </row>
    <row r="56" spans="1:14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19" t="s">
        <v>301</v>
      </c>
      <c r="C57" s="32" t="s">
        <v>302</v>
      </c>
      <c r="D57" s="32">
        <v>20</v>
      </c>
      <c r="E57" s="32">
        <v>0</v>
      </c>
      <c r="F57" s="32">
        <v>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  <c r="N57" s="32">
        <v>0</v>
      </c>
    </row>
    <row r="58" spans="1:14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C59" s="32" t="s">
        <v>534</v>
      </c>
      <c r="D59" s="32">
        <v>25</v>
      </c>
      <c r="E59" s="32"/>
      <c r="F59" s="32">
        <v>5</v>
      </c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C61" s="36" t="s">
        <v>535</v>
      </c>
      <c r="D61" s="32">
        <v>10</v>
      </c>
      <c r="E61" s="32"/>
      <c r="F61" s="32">
        <v>5</v>
      </c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 x14ac:dyDescent="0.2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 x14ac:dyDescent="0.2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 x14ac:dyDescent="0.2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</sheetData>
  <mergeCells count="1">
    <mergeCell ref="C3: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L181"/>
  <sheetViews>
    <sheetView showGridLines="0" workbookViewId="0">
      <selection activeCell="D29" sqref="D29"/>
    </sheetView>
  </sheetViews>
  <sheetFormatPr defaultRowHeight="15" x14ac:dyDescent="0.25"/>
  <cols>
    <col min="1" max="1" width="9.140625" style="61"/>
    <col min="2" max="2" width="0" style="61" hidden="1" customWidth="1"/>
    <col min="3" max="3" width="60.5703125" style="85" customWidth="1"/>
    <col min="4" max="4" width="7" style="86" bestFit="1" customWidth="1"/>
    <col min="5" max="5" width="6.42578125" style="86" bestFit="1" customWidth="1"/>
    <col min="6" max="6" width="9.28515625" style="86" customWidth="1"/>
    <col min="7" max="7" width="7" style="86" customWidth="1"/>
    <col min="8" max="8" width="9.140625" style="86" hidden="1" customWidth="1"/>
    <col min="9" max="9" width="7" style="86" bestFit="1" customWidth="1"/>
    <col min="10" max="10" width="9.140625" style="86" hidden="1" customWidth="1"/>
    <col min="11" max="11" width="9.140625" style="87"/>
    <col min="12" max="12" width="9.140625" style="88"/>
    <col min="13" max="16384" width="9.140625" style="61"/>
  </cols>
  <sheetData>
    <row r="2" spans="2:11" x14ac:dyDescent="0.25">
      <c r="C2" s="223" t="s">
        <v>511</v>
      </c>
      <c r="D2" s="220" t="s">
        <v>512</v>
      </c>
      <c r="E2" s="221"/>
      <c r="F2" s="222"/>
      <c r="G2" s="59">
        <v>0.05</v>
      </c>
    </row>
    <row r="3" spans="2:11" x14ac:dyDescent="0.25">
      <c r="C3" s="224"/>
      <c r="D3" s="220" t="s">
        <v>568</v>
      </c>
      <c r="E3" s="221"/>
      <c r="F3" s="222"/>
      <c r="G3" s="59">
        <v>0.06</v>
      </c>
    </row>
    <row r="4" spans="2:11" x14ac:dyDescent="0.25">
      <c r="C4" s="225"/>
      <c r="D4" s="220" t="s">
        <v>513</v>
      </c>
      <c r="E4" s="221"/>
      <c r="F4" s="222"/>
      <c r="G4" s="59">
        <v>0.05</v>
      </c>
    </row>
    <row r="6" spans="2:11" ht="15.75" x14ac:dyDescent="0.25">
      <c r="C6" s="191" t="s">
        <v>509</v>
      </c>
      <c r="D6" s="191"/>
      <c r="E6" s="191"/>
      <c r="F6" s="191"/>
      <c r="G6" s="191"/>
      <c r="H6" s="191"/>
      <c r="I6" s="191"/>
      <c r="J6" s="191"/>
      <c r="K6" s="191"/>
    </row>
    <row r="7" spans="2:11" ht="33.75" customHeight="1" x14ac:dyDescent="0.25">
      <c r="C7" s="226" t="s">
        <v>508</v>
      </c>
      <c r="D7" s="208" t="s">
        <v>465</v>
      </c>
      <c r="E7" s="209"/>
      <c r="F7" s="208" t="s">
        <v>467</v>
      </c>
      <c r="G7" s="219"/>
      <c r="H7" s="219"/>
      <c r="I7" s="209"/>
      <c r="J7" s="164"/>
      <c r="K7" s="226" t="s">
        <v>468</v>
      </c>
    </row>
    <row r="8" spans="2:11" ht="30" x14ac:dyDescent="0.25">
      <c r="C8" s="227"/>
      <c r="D8" s="147" t="s">
        <v>469</v>
      </c>
      <c r="E8" s="147" t="s">
        <v>3</v>
      </c>
      <c r="F8" s="147" t="s">
        <v>466</v>
      </c>
      <c r="G8" s="147" t="s">
        <v>3</v>
      </c>
      <c r="H8" s="147"/>
      <c r="I8" s="147" t="s">
        <v>510</v>
      </c>
      <c r="J8" s="165"/>
      <c r="K8" s="227"/>
    </row>
    <row r="9" spans="2:11" x14ac:dyDescent="0.25">
      <c r="B9" s="61">
        <v>4</v>
      </c>
      <c r="C9" s="65" t="s">
        <v>21</v>
      </c>
      <c r="D9" s="77"/>
      <c r="E9" s="77"/>
      <c r="F9" s="77"/>
      <c r="G9" s="89"/>
      <c r="H9" s="77"/>
      <c r="I9" s="77"/>
      <c r="J9" s="77"/>
      <c r="K9" s="90"/>
    </row>
    <row r="10" spans="2:11" x14ac:dyDescent="0.25">
      <c r="B10" s="61">
        <v>3</v>
      </c>
      <c r="C10" s="65" t="s">
        <v>311</v>
      </c>
      <c r="D10" s="77">
        <v>60</v>
      </c>
      <c r="E10" s="77" t="s">
        <v>312</v>
      </c>
      <c r="F10" s="77">
        <v>9</v>
      </c>
      <c r="G10" s="78">
        <f>(F10/D10)*5</f>
        <v>0.75</v>
      </c>
      <c r="H10" s="77" t="s">
        <v>312</v>
      </c>
      <c r="I10" s="78">
        <f>((SUM($G$2:$G$4)*G10)+G10)</f>
        <v>0.87</v>
      </c>
      <c r="J10" s="77">
        <v>5</v>
      </c>
      <c r="K10" s="90" t="str">
        <f t="shared" ref="K10:K41" si="0">J10&amp;H10</f>
        <v>5ml</v>
      </c>
    </row>
    <row r="11" spans="2:11" x14ac:dyDescent="0.25">
      <c r="B11" s="61">
        <v>2</v>
      </c>
      <c r="C11" s="65" t="s">
        <v>20</v>
      </c>
      <c r="D11" s="77">
        <v>10</v>
      </c>
      <c r="E11" s="91" t="s">
        <v>250</v>
      </c>
      <c r="F11" s="77">
        <f>0.39*10</f>
        <v>3.9000000000000004</v>
      </c>
      <c r="G11" s="78">
        <v>0.45</v>
      </c>
      <c r="H11" s="77" t="s">
        <v>250</v>
      </c>
      <c r="I11" s="78">
        <f t="shared" ref="I11:I74" si="1">((SUM($G$2:$G$4)*G11)+G11)</f>
        <v>0.52200000000000002</v>
      </c>
      <c r="J11" s="77">
        <v>1</v>
      </c>
      <c r="K11" s="90" t="str">
        <f t="shared" si="0"/>
        <v>1tab</v>
      </c>
    </row>
    <row r="12" spans="2:11" x14ac:dyDescent="0.25">
      <c r="B12" s="61">
        <v>1</v>
      </c>
      <c r="C12" s="65" t="s">
        <v>313</v>
      </c>
      <c r="D12" s="77">
        <v>600</v>
      </c>
      <c r="E12" s="91" t="s">
        <v>250</v>
      </c>
      <c r="F12" s="77">
        <v>300</v>
      </c>
      <c r="G12" s="78">
        <f>F12/D12</f>
        <v>0.5</v>
      </c>
      <c r="H12" s="77" t="s">
        <v>250</v>
      </c>
      <c r="I12" s="78">
        <f t="shared" si="1"/>
        <v>0.57999999999999996</v>
      </c>
      <c r="J12" s="77">
        <v>1</v>
      </c>
      <c r="K12" s="90" t="str">
        <f t="shared" si="0"/>
        <v>1tab</v>
      </c>
    </row>
    <row r="13" spans="2:11" x14ac:dyDescent="0.25">
      <c r="B13" s="61">
        <v>160</v>
      </c>
      <c r="C13" s="65" t="s">
        <v>314</v>
      </c>
      <c r="D13" s="77"/>
      <c r="E13" s="77"/>
      <c r="F13" s="77"/>
      <c r="G13" s="78"/>
      <c r="H13" s="77"/>
      <c r="I13" s="78">
        <f t="shared" si="1"/>
        <v>0</v>
      </c>
      <c r="J13" s="77"/>
      <c r="K13" s="90" t="str">
        <f t="shared" si="0"/>
        <v/>
      </c>
    </row>
    <row r="14" spans="2:11" x14ac:dyDescent="0.25">
      <c r="B14" s="61">
        <v>37</v>
      </c>
      <c r="C14" s="65" t="s">
        <v>315</v>
      </c>
      <c r="D14" s="77"/>
      <c r="E14" s="77" t="s">
        <v>312</v>
      </c>
      <c r="F14" s="77"/>
      <c r="G14" s="78">
        <v>13</v>
      </c>
      <c r="H14" s="77" t="s">
        <v>312</v>
      </c>
      <c r="I14" s="78">
        <f t="shared" si="1"/>
        <v>15.08</v>
      </c>
      <c r="J14" s="77">
        <v>1</v>
      </c>
      <c r="K14" s="90" t="str">
        <f t="shared" si="0"/>
        <v>1ml</v>
      </c>
    </row>
    <row r="15" spans="2:11" x14ac:dyDescent="0.25">
      <c r="B15" s="61">
        <v>188</v>
      </c>
      <c r="C15" s="65" t="s">
        <v>316</v>
      </c>
      <c r="D15" s="77"/>
      <c r="E15" s="77"/>
      <c r="F15" s="77"/>
      <c r="G15" s="78">
        <v>13</v>
      </c>
      <c r="H15" s="77" t="s">
        <v>312</v>
      </c>
      <c r="I15" s="78">
        <f t="shared" si="1"/>
        <v>15.08</v>
      </c>
      <c r="J15" s="77">
        <v>1</v>
      </c>
      <c r="K15" s="90" t="str">
        <f t="shared" si="0"/>
        <v>1ml</v>
      </c>
    </row>
    <row r="16" spans="2:11" x14ac:dyDescent="0.25">
      <c r="B16" s="61">
        <v>60</v>
      </c>
      <c r="C16" s="65" t="s">
        <v>317</v>
      </c>
      <c r="D16" s="77"/>
      <c r="E16" s="77"/>
      <c r="F16" s="77"/>
      <c r="G16" s="78"/>
      <c r="H16" s="77"/>
      <c r="I16" s="78">
        <f t="shared" si="1"/>
        <v>0</v>
      </c>
      <c r="J16" s="77"/>
      <c r="K16" s="90" t="str">
        <f t="shared" si="0"/>
        <v/>
      </c>
    </row>
    <row r="17" spans="2:12" ht="30" x14ac:dyDescent="0.25">
      <c r="B17" s="61">
        <v>109</v>
      </c>
      <c r="C17" s="92" t="s">
        <v>318</v>
      </c>
      <c r="D17" s="77">
        <v>120</v>
      </c>
      <c r="E17" s="77" t="s">
        <v>312</v>
      </c>
      <c r="F17" s="77">
        <v>15</v>
      </c>
      <c r="G17" s="78">
        <f>F17/D17*5</f>
        <v>0.625</v>
      </c>
      <c r="H17" s="77" t="s">
        <v>312</v>
      </c>
      <c r="I17" s="78">
        <f t="shared" si="1"/>
        <v>0.72499999999999998</v>
      </c>
      <c r="J17" s="77">
        <v>5</v>
      </c>
      <c r="K17" s="90" t="str">
        <f t="shared" si="0"/>
        <v>5ml</v>
      </c>
    </row>
    <row r="18" spans="2:12" x14ac:dyDescent="0.25">
      <c r="B18" s="61">
        <v>144</v>
      </c>
      <c r="C18" s="65" t="s">
        <v>319</v>
      </c>
      <c r="D18" s="77">
        <v>10</v>
      </c>
      <c r="E18" s="77" t="s">
        <v>312</v>
      </c>
      <c r="F18" s="77">
        <v>6</v>
      </c>
      <c r="G18" s="78">
        <f>F18/D18</f>
        <v>0.6</v>
      </c>
      <c r="H18" s="77" t="s">
        <v>312</v>
      </c>
      <c r="I18" s="78">
        <f t="shared" si="1"/>
        <v>0.69599999999999995</v>
      </c>
      <c r="J18" s="77">
        <v>1</v>
      </c>
      <c r="K18" s="90" t="str">
        <f t="shared" si="0"/>
        <v>1ml</v>
      </c>
    </row>
    <row r="19" spans="2:12" x14ac:dyDescent="0.25">
      <c r="B19" s="61">
        <v>14</v>
      </c>
      <c r="C19" s="65" t="s">
        <v>320</v>
      </c>
      <c r="D19" s="77"/>
      <c r="E19" s="77"/>
      <c r="F19" s="77"/>
      <c r="G19" s="78"/>
      <c r="H19" s="77"/>
      <c r="I19" s="78">
        <f t="shared" si="1"/>
        <v>0</v>
      </c>
      <c r="J19" s="77"/>
      <c r="K19" s="90" t="str">
        <f t="shared" si="0"/>
        <v/>
      </c>
    </row>
    <row r="20" spans="2:12" x14ac:dyDescent="0.25">
      <c r="B20" s="61">
        <v>13</v>
      </c>
      <c r="C20" s="65" t="s">
        <v>321</v>
      </c>
      <c r="D20" s="77"/>
      <c r="E20" s="77"/>
      <c r="F20" s="77"/>
      <c r="G20" s="78"/>
      <c r="H20" s="77"/>
      <c r="I20" s="78">
        <f t="shared" si="1"/>
        <v>0</v>
      </c>
      <c r="J20" s="77"/>
      <c r="K20" s="90" t="str">
        <f t="shared" si="0"/>
        <v/>
      </c>
    </row>
    <row r="21" spans="2:12" x14ac:dyDescent="0.25">
      <c r="B21" s="61">
        <v>11</v>
      </c>
      <c r="C21" s="65" t="s">
        <v>322</v>
      </c>
      <c r="D21" s="77">
        <v>100</v>
      </c>
      <c r="E21" s="91" t="s">
        <v>250</v>
      </c>
      <c r="F21" s="77">
        <v>198</v>
      </c>
      <c r="G21" s="78">
        <v>2.5</v>
      </c>
      <c r="H21" s="77" t="s">
        <v>250</v>
      </c>
      <c r="I21" s="78">
        <f t="shared" si="1"/>
        <v>2.9</v>
      </c>
      <c r="J21" s="77">
        <v>1</v>
      </c>
      <c r="K21" s="90" t="str">
        <f t="shared" si="0"/>
        <v>1tab</v>
      </c>
      <c r="L21" s="128"/>
    </row>
    <row r="22" spans="2:12" x14ac:dyDescent="0.25">
      <c r="B22" s="61">
        <v>12</v>
      </c>
      <c r="C22" s="65" t="s">
        <v>323</v>
      </c>
      <c r="D22" s="77">
        <v>1</v>
      </c>
      <c r="E22" s="77" t="s">
        <v>312</v>
      </c>
      <c r="F22" s="77">
        <v>0.6</v>
      </c>
      <c r="G22" s="78">
        <v>2.5</v>
      </c>
      <c r="H22" s="77" t="s">
        <v>312</v>
      </c>
      <c r="I22" s="78">
        <f t="shared" si="1"/>
        <v>2.9</v>
      </c>
      <c r="J22" s="77">
        <v>5</v>
      </c>
      <c r="K22" s="90" t="str">
        <f t="shared" si="0"/>
        <v>5ml</v>
      </c>
    </row>
    <row r="23" spans="2:12" x14ac:dyDescent="0.25">
      <c r="B23" s="61">
        <v>22</v>
      </c>
      <c r="C23" s="65" t="s">
        <v>324</v>
      </c>
      <c r="D23" s="77"/>
      <c r="E23" s="77"/>
      <c r="F23" s="77"/>
      <c r="G23" s="78">
        <v>8</v>
      </c>
      <c r="H23" s="77" t="s">
        <v>325</v>
      </c>
      <c r="I23" s="78">
        <f t="shared" si="1"/>
        <v>9.2799999999999994</v>
      </c>
      <c r="J23" s="77">
        <v>1</v>
      </c>
      <c r="K23" s="90" t="str">
        <f t="shared" si="0"/>
        <v>1inj</v>
      </c>
    </row>
    <row r="24" spans="2:12" x14ac:dyDescent="0.25">
      <c r="B24" s="61">
        <v>107</v>
      </c>
      <c r="C24" s="65" t="s">
        <v>326</v>
      </c>
      <c r="D24" s="77"/>
      <c r="E24" s="77"/>
      <c r="F24" s="77"/>
      <c r="G24" s="78"/>
      <c r="H24" s="77"/>
      <c r="I24" s="78">
        <f t="shared" si="1"/>
        <v>0</v>
      </c>
      <c r="J24" s="77"/>
      <c r="K24" s="90" t="str">
        <f t="shared" si="0"/>
        <v/>
      </c>
    </row>
    <row r="25" spans="2:12" x14ac:dyDescent="0.25">
      <c r="B25" s="61">
        <v>66</v>
      </c>
      <c r="C25" s="65" t="s">
        <v>327</v>
      </c>
      <c r="D25" s="77"/>
      <c r="E25" s="77" t="s">
        <v>250</v>
      </c>
      <c r="F25" s="77"/>
      <c r="G25" s="78">
        <v>16</v>
      </c>
      <c r="H25" s="77"/>
      <c r="I25" s="78">
        <f t="shared" si="1"/>
        <v>18.559999999999999</v>
      </c>
      <c r="J25" s="77"/>
      <c r="K25" s="90" t="str">
        <f t="shared" si="0"/>
        <v/>
      </c>
    </row>
    <row r="26" spans="2:12" x14ac:dyDescent="0.25">
      <c r="B26" s="61">
        <v>157</v>
      </c>
      <c r="C26" s="65" t="s">
        <v>328</v>
      </c>
      <c r="D26" s="77"/>
      <c r="E26" s="77"/>
      <c r="F26" s="77"/>
      <c r="G26" s="78">
        <v>0.54</v>
      </c>
      <c r="H26" s="77" t="s">
        <v>250</v>
      </c>
      <c r="I26" s="78">
        <f t="shared" si="1"/>
        <v>0.62640000000000007</v>
      </c>
      <c r="J26" s="77">
        <v>1</v>
      </c>
      <c r="K26" s="90" t="str">
        <f t="shared" si="0"/>
        <v>1tab</v>
      </c>
    </row>
    <row r="27" spans="2:12" x14ac:dyDescent="0.25">
      <c r="B27" s="61">
        <v>103</v>
      </c>
      <c r="C27" s="65" t="s">
        <v>329</v>
      </c>
      <c r="D27" s="77"/>
      <c r="E27" s="77"/>
      <c r="F27" s="77"/>
      <c r="G27" s="78">
        <v>0.38</v>
      </c>
      <c r="H27" s="77" t="s">
        <v>250</v>
      </c>
      <c r="I27" s="78">
        <f t="shared" si="1"/>
        <v>0.44080000000000003</v>
      </c>
      <c r="J27" s="77">
        <v>1</v>
      </c>
      <c r="K27" s="90" t="str">
        <f t="shared" si="0"/>
        <v>1tab</v>
      </c>
    </row>
    <row r="28" spans="2:12" x14ac:dyDescent="0.25">
      <c r="B28" s="61">
        <v>120</v>
      </c>
      <c r="C28" s="65" t="s">
        <v>330</v>
      </c>
      <c r="D28" s="77"/>
      <c r="E28" s="77"/>
      <c r="F28" s="77"/>
      <c r="G28" s="78"/>
      <c r="H28" s="77"/>
      <c r="I28" s="78">
        <f t="shared" si="1"/>
        <v>0</v>
      </c>
      <c r="J28" s="77"/>
      <c r="K28" s="90" t="str">
        <f t="shared" si="0"/>
        <v/>
      </c>
    </row>
    <row r="29" spans="2:12" x14ac:dyDescent="0.25">
      <c r="B29" s="61">
        <v>190</v>
      </c>
      <c r="C29" s="65" t="s">
        <v>331</v>
      </c>
      <c r="D29" s="77"/>
      <c r="E29" s="77"/>
      <c r="F29" s="77"/>
      <c r="G29" s="78">
        <v>10</v>
      </c>
      <c r="H29" s="77" t="s">
        <v>250</v>
      </c>
      <c r="I29" s="78">
        <f t="shared" si="1"/>
        <v>11.6</v>
      </c>
      <c r="J29" s="77">
        <v>1</v>
      </c>
      <c r="K29" s="90" t="str">
        <f t="shared" si="0"/>
        <v>1tab</v>
      </c>
    </row>
    <row r="30" spans="2:12" x14ac:dyDescent="0.25">
      <c r="B30" s="61">
        <v>192</v>
      </c>
      <c r="C30" s="65" t="s">
        <v>332</v>
      </c>
      <c r="D30" s="77"/>
      <c r="E30" s="77"/>
      <c r="F30" s="77"/>
      <c r="G30" s="78">
        <v>10.5</v>
      </c>
      <c r="H30" s="77" t="s">
        <v>305</v>
      </c>
      <c r="I30" s="78">
        <f t="shared" si="1"/>
        <v>12.18</v>
      </c>
      <c r="J30" s="77">
        <v>1</v>
      </c>
      <c r="K30" s="90" t="str">
        <f t="shared" si="0"/>
        <v>1dose</v>
      </c>
    </row>
    <row r="31" spans="2:12" x14ac:dyDescent="0.25">
      <c r="B31" s="61">
        <v>153</v>
      </c>
      <c r="C31" s="65" t="s">
        <v>333</v>
      </c>
      <c r="D31" s="77">
        <v>120</v>
      </c>
      <c r="E31" s="77" t="s">
        <v>312</v>
      </c>
      <c r="F31" s="77">
        <v>15</v>
      </c>
      <c r="G31" s="78">
        <f>F31/D31*5</f>
        <v>0.625</v>
      </c>
      <c r="H31" s="77" t="s">
        <v>312</v>
      </c>
      <c r="I31" s="78">
        <f t="shared" si="1"/>
        <v>0.72499999999999998</v>
      </c>
      <c r="J31" s="77">
        <v>5</v>
      </c>
      <c r="K31" s="90" t="str">
        <f t="shared" si="0"/>
        <v>5ml</v>
      </c>
    </row>
    <row r="32" spans="2:12" x14ac:dyDescent="0.25">
      <c r="B32" s="61">
        <v>154</v>
      </c>
      <c r="C32" s="65" t="s">
        <v>334</v>
      </c>
      <c r="D32" s="77">
        <v>30</v>
      </c>
      <c r="E32" s="77" t="s">
        <v>250</v>
      </c>
      <c r="F32" s="77">
        <v>55</v>
      </c>
      <c r="G32" s="78">
        <f>F32/D32</f>
        <v>1.8333333333333333</v>
      </c>
      <c r="H32" s="77" t="s">
        <v>250</v>
      </c>
      <c r="I32" s="78">
        <f t="shared" si="1"/>
        <v>2.1266666666666665</v>
      </c>
      <c r="J32" s="77">
        <v>1</v>
      </c>
      <c r="K32" s="90" t="str">
        <f t="shared" si="0"/>
        <v>1tab</v>
      </c>
    </row>
    <row r="33" spans="2:12" x14ac:dyDescent="0.25">
      <c r="B33" s="61">
        <v>77</v>
      </c>
      <c r="C33" s="65" t="s">
        <v>335</v>
      </c>
      <c r="D33" s="77"/>
      <c r="E33" s="77"/>
      <c r="F33" s="77"/>
      <c r="G33" s="78"/>
      <c r="H33" s="77"/>
      <c r="I33" s="78">
        <f t="shared" si="1"/>
        <v>0</v>
      </c>
      <c r="J33" s="77"/>
      <c r="K33" s="90" t="str">
        <f t="shared" si="0"/>
        <v/>
      </c>
    </row>
    <row r="34" spans="2:12" x14ac:dyDescent="0.25">
      <c r="B34" s="61">
        <v>167</v>
      </c>
      <c r="C34" s="65" t="s">
        <v>12</v>
      </c>
      <c r="D34" s="77"/>
      <c r="E34" s="77"/>
      <c r="F34" s="77"/>
      <c r="G34" s="78"/>
      <c r="H34" s="77"/>
      <c r="I34" s="78">
        <f t="shared" si="1"/>
        <v>0</v>
      </c>
      <c r="J34" s="77"/>
      <c r="K34" s="90" t="str">
        <f t="shared" si="0"/>
        <v/>
      </c>
    </row>
    <row r="35" spans="2:12" x14ac:dyDescent="0.25">
      <c r="B35" s="61">
        <v>88</v>
      </c>
      <c r="C35" s="65" t="s">
        <v>336</v>
      </c>
      <c r="D35" s="77">
        <v>60</v>
      </c>
      <c r="E35" s="77" t="s">
        <v>312</v>
      </c>
      <c r="F35" s="77">
        <v>15</v>
      </c>
      <c r="G35" s="78">
        <f>F35/D35</f>
        <v>0.25</v>
      </c>
      <c r="H35" s="77" t="s">
        <v>312</v>
      </c>
      <c r="I35" s="78">
        <f t="shared" si="1"/>
        <v>0.28999999999999998</v>
      </c>
      <c r="J35" s="77">
        <v>1</v>
      </c>
      <c r="K35" s="90" t="str">
        <f t="shared" si="0"/>
        <v>1ml</v>
      </c>
    </row>
    <row r="36" spans="2:12" x14ac:dyDescent="0.25">
      <c r="B36" s="61">
        <v>122</v>
      </c>
      <c r="C36" s="65" t="s">
        <v>337</v>
      </c>
      <c r="D36" s="77"/>
      <c r="E36" s="77"/>
      <c r="F36" s="77"/>
      <c r="G36" s="78">
        <v>0.35</v>
      </c>
      <c r="H36" s="77" t="s">
        <v>250</v>
      </c>
      <c r="I36" s="78">
        <f t="shared" si="1"/>
        <v>0.40599999999999997</v>
      </c>
      <c r="J36" s="77">
        <v>1</v>
      </c>
      <c r="K36" s="90" t="str">
        <f t="shared" si="0"/>
        <v>1tab</v>
      </c>
    </row>
    <row r="37" spans="2:12" x14ac:dyDescent="0.25">
      <c r="B37" s="61">
        <v>91</v>
      </c>
      <c r="C37" s="65" t="s">
        <v>338</v>
      </c>
      <c r="D37" s="77">
        <v>120</v>
      </c>
      <c r="E37" s="77" t="s">
        <v>312</v>
      </c>
      <c r="F37" s="77">
        <v>205</v>
      </c>
      <c r="G37" s="78">
        <f>F37/D37</f>
        <v>1.7083333333333333</v>
      </c>
      <c r="H37" s="77" t="s">
        <v>312</v>
      </c>
      <c r="I37" s="78">
        <f t="shared" si="1"/>
        <v>1.9816666666666665</v>
      </c>
      <c r="J37" s="77">
        <v>1</v>
      </c>
      <c r="K37" s="90" t="str">
        <f t="shared" si="0"/>
        <v>1ml</v>
      </c>
    </row>
    <row r="38" spans="2:12" x14ac:dyDescent="0.25">
      <c r="B38" s="61">
        <v>156</v>
      </c>
      <c r="C38" s="65" t="s">
        <v>339</v>
      </c>
      <c r="D38" s="77"/>
      <c r="E38" s="77"/>
      <c r="F38" s="77"/>
      <c r="G38" s="78">
        <v>0.78</v>
      </c>
      <c r="H38" s="77" t="s">
        <v>250</v>
      </c>
      <c r="I38" s="78">
        <f t="shared" si="1"/>
        <v>0.90480000000000005</v>
      </c>
      <c r="J38" s="77">
        <v>1</v>
      </c>
      <c r="K38" s="90" t="str">
        <f t="shared" si="0"/>
        <v>1tab</v>
      </c>
    </row>
    <row r="39" spans="2:12" x14ac:dyDescent="0.25">
      <c r="B39" s="61">
        <v>21</v>
      </c>
      <c r="C39" s="65" t="s">
        <v>146</v>
      </c>
      <c r="D39" s="77">
        <v>1</v>
      </c>
      <c r="E39" s="77" t="s">
        <v>252</v>
      </c>
      <c r="F39" s="77">
        <v>29</v>
      </c>
      <c r="G39" s="78">
        <f>F39</f>
        <v>29</v>
      </c>
      <c r="H39" s="77"/>
      <c r="I39" s="78">
        <f t="shared" si="1"/>
        <v>33.64</v>
      </c>
      <c r="J39" s="77"/>
      <c r="K39" s="90" t="str">
        <f t="shared" si="0"/>
        <v/>
      </c>
    </row>
    <row r="40" spans="2:12" x14ac:dyDescent="0.25">
      <c r="B40" s="61">
        <v>138</v>
      </c>
      <c r="C40" s="65" t="s">
        <v>340</v>
      </c>
      <c r="D40" s="77"/>
      <c r="E40" s="77"/>
      <c r="F40" s="77"/>
      <c r="G40" s="78"/>
      <c r="H40" s="77"/>
      <c r="I40" s="78">
        <f t="shared" si="1"/>
        <v>0</v>
      </c>
      <c r="J40" s="77"/>
      <c r="K40" s="90" t="str">
        <f t="shared" si="0"/>
        <v/>
      </c>
    </row>
    <row r="41" spans="2:12" x14ac:dyDescent="0.25">
      <c r="B41" s="61">
        <v>134</v>
      </c>
      <c r="C41" s="65" t="s">
        <v>341</v>
      </c>
      <c r="D41" s="77">
        <v>10</v>
      </c>
      <c r="E41" s="77" t="s">
        <v>312</v>
      </c>
      <c r="F41" s="77">
        <v>10</v>
      </c>
      <c r="G41" s="78">
        <f>F41/D41</f>
        <v>1</v>
      </c>
      <c r="H41" s="77" t="s">
        <v>312</v>
      </c>
      <c r="I41" s="78">
        <f t="shared" si="1"/>
        <v>1.1599999999999999</v>
      </c>
      <c r="J41" s="77">
        <v>1</v>
      </c>
      <c r="K41" s="90" t="str">
        <f t="shared" si="0"/>
        <v>1ml</v>
      </c>
    </row>
    <row r="42" spans="2:12" x14ac:dyDescent="0.25">
      <c r="B42" s="61">
        <v>135</v>
      </c>
      <c r="C42" s="65" t="s">
        <v>342</v>
      </c>
      <c r="D42" s="77"/>
      <c r="E42" s="77"/>
      <c r="F42" s="77"/>
      <c r="G42" s="78">
        <v>4.75</v>
      </c>
      <c r="H42" s="77" t="s">
        <v>312</v>
      </c>
      <c r="I42" s="78">
        <f t="shared" si="1"/>
        <v>5.51</v>
      </c>
      <c r="J42" s="77">
        <v>1</v>
      </c>
      <c r="K42" s="90" t="str">
        <f t="shared" ref="K42:K73" si="2">J42&amp;H42</f>
        <v>1ml</v>
      </c>
    </row>
    <row r="43" spans="2:12" x14ac:dyDescent="0.25">
      <c r="B43" s="61">
        <v>164</v>
      </c>
      <c r="C43" s="65" t="s">
        <v>343</v>
      </c>
      <c r="D43" s="77"/>
      <c r="E43" s="77"/>
      <c r="F43" s="77"/>
      <c r="G43" s="78"/>
      <c r="H43" s="77"/>
      <c r="I43" s="78">
        <f t="shared" si="1"/>
        <v>0</v>
      </c>
      <c r="J43" s="77"/>
      <c r="K43" s="90" t="str">
        <f t="shared" si="2"/>
        <v/>
      </c>
    </row>
    <row r="44" spans="2:12" x14ac:dyDescent="0.25">
      <c r="B44" s="61">
        <v>63</v>
      </c>
      <c r="C44" s="65" t="s">
        <v>344</v>
      </c>
      <c r="D44" s="77">
        <v>60</v>
      </c>
      <c r="E44" s="77" t="s">
        <v>312</v>
      </c>
      <c r="F44" s="77">
        <v>12</v>
      </c>
      <c r="G44" s="78">
        <f>F44/D44*5</f>
        <v>1</v>
      </c>
      <c r="H44" s="77" t="s">
        <v>312</v>
      </c>
      <c r="I44" s="78">
        <f t="shared" si="1"/>
        <v>1.1599999999999999</v>
      </c>
      <c r="J44" s="77">
        <v>5</v>
      </c>
      <c r="K44" s="90" t="str">
        <f t="shared" si="2"/>
        <v>5ml</v>
      </c>
    </row>
    <row r="45" spans="2:12" x14ac:dyDescent="0.25">
      <c r="B45" s="61">
        <v>62</v>
      </c>
      <c r="C45" s="92" t="s">
        <v>345</v>
      </c>
      <c r="D45" s="77">
        <v>1000</v>
      </c>
      <c r="E45" s="77" t="s">
        <v>250</v>
      </c>
      <c r="F45" s="77">
        <f>5.8*91</f>
        <v>527.79999999999995</v>
      </c>
      <c r="G45" s="78">
        <f>F45/D45</f>
        <v>0.52779999999999994</v>
      </c>
      <c r="H45" s="77" t="s">
        <v>250</v>
      </c>
      <c r="I45" s="78">
        <f t="shared" si="1"/>
        <v>0.6122479999999999</v>
      </c>
      <c r="J45" s="77">
        <v>1</v>
      </c>
      <c r="K45" s="90" t="str">
        <f t="shared" si="2"/>
        <v>1tab</v>
      </c>
    </row>
    <row r="46" spans="2:12" x14ac:dyDescent="0.25">
      <c r="B46" s="61">
        <v>33</v>
      </c>
      <c r="C46" s="65" t="s">
        <v>346</v>
      </c>
      <c r="D46" s="77">
        <v>120</v>
      </c>
      <c r="E46" s="77" t="s">
        <v>312</v>
      </c>
      <c r="F46" s="77">
        <v>9</v>
      </c>
      <c r="G46" s="78">
        <f>F46/D46*5</f>
        <v>0.375</v>
      </c>
      <c r="H46" s="77" t="s">
        <v>312</v>
      </c>
      <c r="I46" s="78">
        <f t="shared" si="1"/>
        <v>0.435</v>
      </c>
      <c r="J46" s="77">
        <v>5</v>
      </c>
      <c r="K46" s="90" t="str">
        <f t="shared" si="2"/>
        <v>5ml</v>
      </c>
    </row>
    <row r="47" spans="2:12" x14ac:dyDescent="0.25">
      <c r="B47" s="61">
        <v>32</v>
      </c>
      <c r="C47" s="65" t="s">
        <v>347</v>
      </c>
      <c r="D47" s="77">
        <v>500</v>
      </c>
      <c r="E47" s="77"/>
      <c r="F47" s="77">
        <v>69</v>
      </c>
      <c r="G47" s="78">
        <f>F47/D47</f>
        <v>0.13800000000000001</v>
      </c>
      <c r="H47" s="77" t="s">
        <v>250</v>
      </c>
      <c r="I47" s="78">
        <f t="shared" si="1"/>
        <v>0.16008</v>
      </c>
      <c r="J47" s="77">
        <v>1</v>
      </c>
      <c r="K47" s="90" t="str">
        <f t="shared" si="2"/>
        <v>1tab</v>
      </c>
    </row>
    <row r="48" spans="2:12" x14ac:dyDescent="0.25">
      <c r="B48" s="61">
        <v>23</v>
      </c>
      <c r="C48" s="65" t="s">
        <v>348</v>
      </c>
      <c r="D48" s="77"/>
      <c r="E48" s="77" t="s">
        <v>250</v>
      </c>
      <c r="F48" s="77"/>
      <c r="G48" s="78">
        <v>3</v>
      </c>
      <c r="H48" s="77" t="s">
        <v>250</v>
      </c>
      <c r="I48" s="78">
        <f t="shared" si="1"/>
        <v>3.48</v>
      </c>
      <c r="J48" s="77">
        <v>1</v>
      </c>
      <c r="K48" s="90" t="str">
        <f t="shared" si="2"/>
        <v>1tab</v>
      </c>
      <c r="L48" s="128"/>
    </row>
    <row r="49" spans="2:11" x14ac:dyDescent="0.25">
      <c r="B49" s="61">
        <v>80</v>
      </c>
      <c r="C49" s="65" t="s">
        <v>349</v>
      </c>
      <c r="D49" s="77">
        <v>20</v>
      </c>
      <c r="E49" s="77" t="s">
        <v>350</v>
      </c>
      <c r="F49" s="77">
        <v>15</v>
      </c>
      <c r="G49" s="78">
        <f>F49/D49</f>
        <v>0.75</v>
      </c>
      <c r="H49" s="77" t="s">
        <v>350</v>
      </c>
      <c r="I49" s="78">
        <f t="shared" si="1"/>
        <v>0.87</v>
      </c>
      <c r="J49" s="77">
        <v>1</v>
      </c>
      <c r="K49" s="90" t="str">
        <f t="shared" si="2"/>
        <v>1gm</v>
      </c>
    </row>
    <row r="50" spans="2:11" x14ac:dyDescent="0.25">
      <c r="B50" s="61">
        <v>34</v>
      </c>
      <c r="C50" s="65" t="s">
        <v>351</v>
      </c>
      <c r="D50" s="77"/>
      <c r="E50" s="77" t="s">
        <v>250</v>
      </c>
      <c r="F50" s="77"/>
      <c r="G50" s="78">
        <v>0.4</v>
      </c>
      <c r="H50" s="77" t="s">
        <v>250</v>
      </c>
      <c r="I50" s="78">
        <f t="shared" si="1"/>
        <v>0.46400000000000002</v>
      </c>
      <c r="J50" s="77">
        <v>1</v>
      </c>
      <c r="K50" s="90" t="str">
        <f t="shared" si="2"/>
        <v>1tab</v>
      </c>
    </row>
    <row r="51" spans="2:11" x14ac:dyDescent="0.25">
      <c r="B51" s="61">
        <v>179</v>
      </c>
      <c r="C51" s="65" t="s">
        <v>352</v>
      </c>
      <c r="D51" s="77"/>
      <c r="E51" s="77"/>
      <c r="F51" s="77"/>
      <c r="G51" s="78">
        <v>0.9</v>
      </c>
      <c r="H51" s="77" t="s">
        <v>312</v>
      </c>
      <c r="I51" s="78">
        <f t="shared" si="1"/>
        <v>1.044</v>
      </c>
      <c r="J51" s="77">
        <v>1</v>
      </c>
      <c r="K51" s="90" t="str">
        <f t="shared" si="2"/>
        <v>1ml</v>
      </c>
    </row>
    <row r="52" spans="2:11" x14ac:dyDescent="0.25">
      <c r="B52" s="61">
        <v>171</v>
      </c>
      <c r="C52" s="65" t="s">
        <v>353</v>
      </c>
      <c r="D52" s="77">
        <v>1000</v>
      </c>
      <c r="E52" s="77" t="s">
        <v>312</v>
      </c>
      <c r="F52" s="77">
        <v>40</v>
      </c>
      <c r="G52" s="78">
        <v>40</v>
      </c>
      <c r="H52" s="77" t="s">
        <v>312</v>
      </c>
      <c r="I52" s="78">
        <f t="shared" si="1"/>
        <v>46.4</v>
      </c>
      <c r="J52" s="77">
        <v>1000</v>
      </c>
      <c r="K52" s="90" t="str">
        <f t="shared" si="2"/>
        <v>1000ml</v>
      </c>
    </row>
    <row r="53" spans="2:11" x14ac:dyDescent="0.25">
      <c r="B53" s="61">
        <v>170</v>
      </c>
      <c r="C53" s="65" t="s">
        <v>354</v>
      </c>
      <c r="D53" s="77">
        <v>500</v>
      </c>
      <c r="E53" s="77" t="s">
        <v>312</v>
      </c>
      <c r="F53" s="77">
        <v>30</v>
      </c>
      <c r="G53" s="78">
        <v>30</v>
      </c>
      <c r="H53" s="77" t="s">
        <v>312</v>
      </c>
      <c r="I53" s="78">
        <f t="shared" si="1"/>
        <v>34.799999999999997</v>
      </c>
      <c r="J53" s="77">
        <v>500</v>
      </c>
      <c r="K53" s="90" t="str">
        <f t="shared" si="2"/>
        <v>500ml</v>
      </c>
    </row>
    <row r="54" spans="2:11" x14ac:dyDescent="0.25">
      <c r="B54" s="61">
        <v>189</v>
      </c>
      <c r="C54" s="65" t="s">
        <v>355</v>
      </c>
      <c r="D54" s="77"/>
      <c r="E54" s="77"/>
      <c r="F54" s="77"/>
      <c r="G54" s="78">
        <v>9</v>
      </c>
      <c r="H54" s="77" t="s">
        <v>312</v>
      </c>
      <c r="I54" s="78">
        <f t="shared" si="1"/>
        <v>10.44</v>
      </c>
      <c r="J54" s="77">
        <v>1</v>
      </c>
      <c r="K54" s="90" t="str">
        <f t="shared" si="2"/>
        <v>1ml</v>
      </c>
    </row>
    <row r="55" spans="2:11" x14ac:dyDescent="0.25">
      <c r="B55" s="61">
        <v>151</v>
      </c>
      <c r="C55" s="65" t="s">
        <v>356</v>
      </c>
      <c r="D55" s="77">
        <v>1000</v>
      </c>
      <c r="E55" s="77" t="s">
        <v>250</v>
      </c>
      <c r="F55" s="77">
        <f>G55*D55</f>
        <v>600</v>
      </c>
      <c r="G55" s="78">
        <v>0.6</v>
      </c>
      <c r="H55" s="77" t="s">
        <v>250</v>
      </c>
      <c r="I55" s="78">
        <f t="shared" si="1"/>
        <v>0.69599999999999995</v>
      </c>
      <c r="J55" s="77">
        <v>1</v>
      </c>
      <c r="K55" s="90" t="str">
        <f t="shared" si="2"/>
        <v>1tab</v>
      </c>
    </row>
    <row r="56" spans="2:11" x14ac:dyDescent="0.25">
      <c r="B56" s="61">
        <v>7</v>
      </c>
      <c r="C56" s="65" t="s">
        <v>357</v>
      </c>
      <c r="D56" s="77">
        <v>1</v>
      </c>
      <c r="E56" s="77" t="s">
        <v>358</v>
      </c>
      <c r="F56" s="77">
        <v>3</v>
      </c>
      <c r="G56" s="78">
        <v>3</v>
      </c>
      <c r="H56" s="77" t="s">
        <v>358</v>
      </c>
      <c r="I56" s="78">
        <f t="shared" si="1"/>
        <v>3.48</v>
      </c>
      <c r="J56" s="77">
        <v>1</v>
      </c>
      <c r="K56" s="90" t="str">
        <f t="shared" si="2"/>
        <v>1amp</v>
      </c>
    </row>
    <row r="57" spans="2:11" x14ac:dyDescent="0.25">
      <c r="B57" s="61">
        <v>8</v>
      </c>
      <c r="C57" s="65" t="s">
        <v>359</v>
      </c>
      <c r="D57" s="77"/>
      <c r="E57" s="77"/>
      <c r="F57" s="77"/>
      <c r="G57" s="78"/>
      <c r="H57" s="77"/>
      <c r="I57" s="78">
        <f t="shared" si="1"/>
        <v>0</v>
      </c>
      <c r="J57" s="77"/>
      <c r="K57" s="90" t="str">
        <f t="shared" si="2"/>
        <v/>
      </c>
    </row>
    <row r="58" spans="2:11" x14ac:dyDescent="0.25">
      <c r="B58" s="61">
        <v>106</v>
      </c>
      <c r="C58" s="65" t="s">
        <v>360</v>
      </c>
      <c r="D58" s="77"/>
      <c r="E58" s="77"/>
      <c r="F58" s="77"/>
      <c r="G58" s="78">
        <v>1.25</v>
      </c>
      <c r="H58" s="77" t="s">
        <v>250</v>
      </c>
      <c r="I58" s="78">
        <f t="shared" si="1"/>
        <v>1.45</v>
      </c>
      <c r="J58" s="77">
        <v>1</v>
      </c>
      <c r="K58" s="90" t="str">
        <f t="shared" si="2"/>
        <v>1tab</v>
      </c>
    </row>
    <row r="59" spans="2:11" x14ac:dyDescent="0.25">
      <c r="B59" s="61">
        <v>29</v>
      </c>
      <c r="C59" s="65" t="s">
        <v>361</v>
      </c>
      <c r="D59" s="77"/>
      <c r="E59" s="77"/>
      <c r="F59" s="77"/>
      <c r="G59" s="78"/>
      <c r="H59" s="77"/>
      <c r="I59" s="78">
        <f t="shared" si="1"/>
        <v>0</v>
      </c>
      <c r="J59" s="77"/>
      <c r="K59" s="90" t="str">
        <f t="shared" si="2"/>
        <v/>
      </c>
    </row>
    <row r="60" spans="2:11" x14ac:dyDescent="0.25">
      <c r="B60" s="61">
        <v>116</v>
      </c>
      <c r="C60" s="65" t="s">
        <v>362</v>
      </c>
      <c r="D60" s="77">
        <v>1</v>
      </c>
      <c r="E60" s="77" t="s">
        <v>312</v>
      </c>
      <c r="F60" s="77">
        <v>2.5</v>
      </c>
      <c r="G60" s="78">
        <f>F60*2</f>
        <v>5</v>
      </c>
      <c r="H60" s="77" t="s">
        <v>312</v>
      </c>
      <c r="I60" s="78">
        <f t="shared" si="1"/>
        <v>5.8</v>
      </c>
      <c r="J60" s="77">
        <v>2</v>
      </c>
      <c r="K60" s="90" t="str">
        <f t="shared" si="2"/>
        <v>2ml</v>
      </c>
    </row>
    <row r="61" spans="2:11" x14ac:dyDescent="0.25">
      <c r="B61" s="61">
        <v>115</v>
      </c>
      <c r="C61" s="65" t="s">
        <v>363</v>
      </c>
      <c r="D61" s="77">
        <v>60</v>
      </c>
      <c r="E61" s="77" t="s">
        <v>312</v>
      </c>
      <c r="F61" s="77">
        <v>12</v>
      </c>
      <c r="G61" s="78">
        <f>F61/D61*4</f>
        <v>0.8</v>
      </c>
      <c r="H61" s="77" t="s">
        <v>312</v>
      </c>
      <c r="I61" s="78">
        <f t="shared" si="1"/>
        <v>0.92800000000000005</v>
      </c>
      <c r="J61" s="77">
        <v>4</v>
      </c>
      <c r="K61" s="90" t="str">
        <f t="shared" si="2"/>
        <v>4ml</v>
      </c>
    </row>
    <row r="62" spans="2:11" x14ac:dyDescent="0.25">
      <c r="B62" s="61">
        <v>114</v>
      </c>
      <c r="C62" s="65" t="s">
        <v>364</v>
      </c>
      <c r="D62" s="77">
        <v>100</v>
      </c>
      <c r="E62" s="77" t="s">
        <v>250</v>
      </c>
      <c r="F62" s="77">
        <v>35</v>
      </c>
      <c r="G62" s="78">
        <f>F62/D62</f>
        <v>0.35</v>
      </c>
      <c r="H62" s="77" t="s">
        <v>250</v>
      </c>
      <c r="I62" s="78">
        <f t="shared" si="1"/>
        <v>0.40599999999999997</v>
      </c>
      <c r="J62" s="77">
        <v>1</v>
      </c>
      <c r="K62" s="90" t="str">
        <f t="shared" si="2"/>
        <v>1tab</v>
      </c>
    </row>
    <row r="63" spans="2:11" x14ac:dyDescent="0.25">
      <c r="B63" s="61">
        <v>100</v>
      </c>
      <c r="C63" s="65" t="s">
        <v>365</v>
      </c>
      <c r="D63" s="77"/>
      <c r="E63" s="77"/>
      <c r="F63" s="77"/>
      <c r="G63" s="78">
        <v>3</v>
      </c>
      <c r="H63" s="77" t="s">
        <v>250</v>
      </c>
      <c r="I63" s="78">
        <f t="shared" si="1"/>
        <v>3.48</v>
      </c>
      <c r="J63" s="77">
        <v>1</v>
      </c>
      <c r="K63" s="90" t="str">
        <f t="shared" si="2"/>
        <v>1tab</v>
      </c>
    </row>
    <row r="64" spans="2:11" x14ac:dyDescent="0.25">
      <c r="B64" s="61">
        <v>17</v>
      </c>
      <c r="C64" s="65" t="s">
        <v>366</v>
      </c>
      <c r="D64" s="77"/>
      <c r="E64" s="77"/>
      <c r="F64" s="77"/>
      <c r="G64" s="78">
        <v>1.2</v>
      </c>
      <c r="H64" s="77" t="s">
        <v>250</v>
      </c>
      <c r="I64" s="78">
        <f t="shared" si="1"/>
        <v>1.3919999999999999</v>
      </c>
      <c r="J64" s="77">
        <v>1</v>
      </c>
      <c r="K64" s="90" t="str">
        <f t="shared" si="2"/>
        <v>1tab</v>
      </c>
    </row>
    <row r="65" spans="2:11" x14ac:dyDescent="0.25">
      <c r="B65" s="61">
        <v>40</v>
      </c>
      <c r="C65" s="65" t="s">
        <v>367</v>
      </c>
      <c r="D65" s="77"/>
      <c r="E65" s="77"/>
      <c r="F65" s="77"/>
      <c r="G65" s="78"/>
      <c r="H65" s="77"/>
      <c r="I65" s="78">
        <f t="shared" si="1"/>
        <v>0</v>
      </c>
      <c r="J65" s="77"/>
      <c r="K65" s="90" t="str">
        <f t="shared" si="2"/>
        <v/>
      </c>
    </row>
    <row r="66" spans="2:11" x14ac:dyDescent="0.25">
      <c r="B66" s="61">
        <v>20</v>
      </c>
      <c r="C66" s="65" t="s">
        <v>368</v>
      </c>
      <c r="D66" s="77"/>
      <c r="E66" s="77"/>
      <c r="F66" s="77"/>
      <c r="G66" s="78">
        <f>1.5*5</f>
        <v>7.5</v>
      </c>
      <c r="H66" s="77" t="s">
        <v>325</v>
      </c>
      <c r="I66" s="78">
        <f t="shared" si="1"/>
        <v>8.6999999999999993</v>
      </c>
      <c r="J66" s="77">
        <v>1</v>
      </c>
      <c r="K66" s="90" t="str">
        <f t="shared" si="2"/>
        <v>1inj</v>
      </c>
    </row>
    <row r="67" spans="2:11" x14ac:dyDescent="0.25">
      <c r="B67" s="61">
        <v>19</v>
      </c>
      <c r="C67" s="65" t="s">
        <v>369</v>
      </c>
      <c r="D67" s="77"/>
      <c r="E67" s="77"/>
      <c r="F67" s="77"/>
      <c r="G67" s="78">
        <v>2.4</v>
      </c>
      <c r="H67" s="77" t="s">
        <v>250</v>
      </c>
      <c r="I67" s="78">
        <f t="shared" si="1"/>
        <v>2.7839999999999998</v>
      </c>
      <c r="J67" s="77">
        <v>1</v>
      </c>
      <c r="K67" s="90" t="str">
        <f t="shared" si="2"/>
        <v>1tab</v>
      </c>
    </row>
    <row r="68" spans="2:11" x14ac:dyDescent="0.25">
      <c r="B68" s="61">
        <v>69</v>
      </c>
      <c r="C68" s="65" t="s">
        <v>370</v>
      </c>
      <c r="D68" s="77"/>
      <c r="E68" s="77" t="s">
        <v>250</v>
      </c>
      <c r="F68" s="77"/>
      <c r="G68" s="78">
        <v>3</v>
      </c>
      <c r="H68" s="77" t="s">
        <v>250</v>
      </c>
      <c r="I68" s="78">
        <f t="shared" si="1"/>
        <v>3.48</v>
      </c>
      <c r="J68" s="77">
        <v>1</v>
      </c>
      <c r="K68" s="90" t="str">
        <f t="shared" si="2"/>
        <v>1tab</v>
      </c>
    </row>
    <row r="69" spans="2:11" x14ac:dyDescent="0.25">
      <c r="B69" s="61">
        <v>86</v>
      </c>
      <c r="C69" s="65" t="s">
        <v>371</v>
      </c>
      <c r="D69" s="77">
        <v>120</v>
      </c>
      <c r="E69" s="77" t="s">
        <v>312</v>
      </c>
      <c r="F69" s="77">
        <v>18</v>
      </c>
      <c r="G69" s="78">
        <f>F69/D69*5</f>
        <v>0.75</v>
      </c>
      <c r="H69" s="77" t="s">
        <v>312</v>
      </c>
      <c r="I69" s="78">
        <f t="shared" si="1"/>
        <v>0.87</v>
      </c>
      <c r="J69" s="77">
        <v>5</v>
      </c>
      <c r="K69" s="90" t="str">
        <f t="shared" si="2"/>
        <v>5ml</v>
      </c>
    </row>
    <row r="70" spans="2:11" ht="30" x14ac:dyDescent="0.25">
      <c r="B70" s="61">
        <v>84</v>
      </c>
      <c r="C70" s="92" t="s">
        <v>304</v>
      </c>
      <c r="D70" s="77"/>
      <c r="E70" s="77"/>
      <c r="F70" s="77"/>
      <c r="G70" s="78">
        <v>1.6</v>
      </c>
      <c r="H70" s="77" t="s">
        <v>251</v>
      </c>
      <c r="I70" s="78">
        <f t="shared" si="1"/>
        <v>1.8560000000000001</v>
      </c>
      <c r="J70" s="77">
        <v>1</v>
      </c>
      <c r="K70" s="90" t="str">
        <f t="shared" si="2"/>
        <v>1capsule</v>
      </c>
    </row>
    <row r="71" spans="2:11" x14ac:dyDescent="0.25">
      <c r="B71" s="61">
        <v>150</v>
      </c>
      <c r="C71" s="65" t="s">
        <v>372</v>
      </c>
      <c r="D71" s="77"/>
      <c r="E71" s="77"/>
      <c r="F71" s="77"/>
      <c r="G71" s="78">
        <v>0.8</v>
      </c>
      <c r="H71" s="77" t="s">
        <v>373</v>
      </c>
      <c r="I71" s="78">
        <f t="shared" si="1"/>
        <v>0.92800000000000005</v>
      </c>
      <c r="J71" s="77">
        <v>1</v>
      </c>
      <c r="K71" s="90" t="str">
        <f t="shared" si="2"/>
        <v>1cap</v>
      </c>
    </row>
    <row r="72" spans="2:11" x14ac:dyDescent="0.25">
      <c r="B72" s="61">
        <v>85</v>
      </c>
      <c r="C72" s="65" t="s">
        <v>374</v>
      </c>
      <c r="D72" s="77">
        <v>500</v>
      </c>
      <c r="E72" s="77" t="s">
        <v>250</v>
      </c>
      <c r="F72" s="77">
        <v>55</v>
      </c>
      <c r="G72" s="78">
        <f>F72/D72</f>
        <v>0.11</v>
      </c>
      <c r="H72" s="77" t="s">
        <v>250</v>
      </c>
      <c r="I72" s="78">
        <f t="shared" si="1"/>
        <v>0.12759999999999999</v>
      </c>
      <c r="J72" s="77">
        <v>1</v>
      </c>
      <c r="K72" s="90" t="str">
        <f t="shared" si="2"/>
        <v>1tab</v>
      </c>
    </row>
    <row r="73" spans="2:11" x14ac:dyDescent="0.25">
      <c r="B73" s="61">
        <v>96</v>
      </c>
      <c r="C73" s="65" t="s">
        <v>375</v>
      </c>
      <c r="D73" s="77">
        <v>2</v>
      </c>
      <c r="E73" s="77" t="s">
        <v>312</v>
      </c>
      <c r="F73" s="77">
        <f>2*4.42</f>
        <v>8.84</v>
      </c>
      <c r="G73" s="78">
        <f>F73/D73</f>
        <v>4.42</v>
      </c>
      <c r="H73" s="77" t="s">
        <v>312</v>
      </c>
      <c r="I73" s="78">
        <f t="shared" si="1"/>
        <v>5.1272000000000002</v>
      </c>
      <c r="J73" s="77">
        <v>1</v>
      </c>
      <c r="K73" s="90" t="str">
        <f t="shared" si="2"/>
        <v>1ml</v>
      </c>
    </row>
    <row r="74" spans="2:11" x14ac:dyDescent="0.25">
      <c r="B74" s="61">
        <v>95</v>
      </c>
      <c r="C74" s="65" t="s">
        <v>376</v>
      </c>
      <c r="D74" s="77"/>
      <c r="E74" s="77"/>
      <c r="F74" s="77"/>
      <c r="G74" s="78">
        <v>0.41</v>
      </c>
      <c r="H74" s="77" t="s">
        <v>250</v>
      </c>
      <c r="I74" s="78">
        <f t="shared" si="1"/>
        <v>0.47559999999999997</v>
      </c>
      <c r="J74" s="77">
        <v>1</v>
      </c>
      <c r="K74" s="90" t="str">
        <f t="shared" ref="K74:K99" si="3">J74&amp;H74</f>
        <v>1tab</v>
      </c>
    </row>
    <row r="75" spans="2:11" x14ac:dyDescent="0.25">
      <c r="B75" s="61">
        <v>166</v>
      </c>
      <c r="C75" s="65" t="s">
        <v>377</v>
      </c>
      <c r="D75" s="77">
        <v>30</v>
      </c>
      <c r="E75" s="77" t="s">
        <v>312</v>
      </c>
      <c r="F75" s="77">
        <v>15</v>
      </c>
      <c r="G75" s="78">
        <f>F75/D75*5</f>
        <v>2.5</v>
      </c>
      <c r="H75" s="77" t="s">
        <v>312</v>
      </c>
      <c r="I75" s="78">
        <f t="shared" ref="I75:I139" si="4">((SUM($G$2:$G$4)*G75)+G75)</f>
        <v>2.9</v>
      </c>
      <c r="J75" s="77">
        <v>5</v>
      </c>
      <c r="K75" s="90" t="str">
        <f t="shared" si="3"/>
        <v>5ml</v>
      </c>
    </row>
    <row r="76" spans="2:11" x14ac:dyDescent="0.25">
      <c r="B76" s="61">
        <v>126</v>
      </c>
      <c r="C76" s="65" t="s">
        <v>378</v>
      </c>
      <c r="D76" s="77">
        <v>60</v>
      </c>
      <c r="E76" s="77" t="s">
        <v>250</v>
      </c>
      <c r="F76" s="77">
        <v>15</v>
      </c>
      <c r="G76" s="78">
        <f>F76/D76</f>
        <v>0.25</v>
      </c>
      <c r="H76" s="77" t="s">
        <v>250</v>
      </c>
      <c r="I76" s="78">
        <f t="shared" si="4"/>
        <v>0.28999999999999998</v>
      </c>
      <c r="J76" s="77">
        <v>1</v>
      </c>
      <c r="K76" s="90" t="str">
        <f t="shared" si="3"/>
        <v>1tab</v>
      </c>
    </row>
    <row r="77" spans="2:11" ht="30" x14ac:dyDescent="0.25">
      <c r="B77" s="61">
        <v>173</v>
      </c>
      <c r="C77" s="92" t="s">
        <v>379</v>
      </c>
      <c r="D77" s="77"/>
      <c r="E77" s="77"/>
      <c r="F77" s="77"/>
      <c r="G77" s="78"/>
      <c r="H77" s="77"/>
      <c r="I77" s="78">
        <f t="shared" si="4"/>
        <v>0</v>
      </c>
      <c r="J77" s="77"/>
      <c r="K77" s="90" t="str">
        <f t="shared" si="3"/>
        <v/>
      </c>
    </row>
    <row r="78" spans="2:11" ht="30" x14ac:dyDescent="0.25">
      <c r="B78" s="61">
        <v>172</v>
      </c>
      <c r="C78" s="92" t="s">
        <v>380</v>
      </c>
      <c r="D78" s="77"/>
      <c r="E78" s="77"/>
      <c r="F78" s="77"/>
      <c r="G78" s="78"/>
      <c r="H78" s="77"/>
      <c r="I78" s="78">
        <f t="shared" si="4"/>
        <v>0</v>
      </c>
      <c r="J78" s="77"/>
      <c r="K78" s="90" t="str">
        <f t="shared" si="3"/>
        <v/>
      </c>
    </row>
    <row r="79" spans="2:11" x14ac:dyDescent="0.25">
      <c r="B79" s="61">
        <v>123</v>
      </c>
      <c r="C79" s="65" t="s">
        <v>381</v>
      </c>
      <c r="D79" s="77"/>
      <c r="E79" s="77"/>
      <c r="F79" s="77"/>
      <c r="G79" s="78">
        <v>82</v>
      </c>
      <c r="H79" s="77"/>
      <c r="I79" s="78">
        <f t="shared" si="4"/>
        <v>95.12</v>
      </c>
      <c r="J79" s="77"/>
      <c r="K79" s="90" t="str">
        <f t="shared" si="3"/>
        <v/>
      </c>
    </row>
    <row r="80" spans="2:11" x14ac:dyDescent="0.25">
      <c r="B80" s="61">
        <v>101</v>
      </c>
      <c r="C80" s="65" t="s">
        <v>382</v>
      </c>
      <c r="D80" s="77"/>
      <c r="E80" s="77"/>
      <c r="F80" s="77"/>
      <c r="G80" s="78">
        <v>2</v>
      </c>
      <c r="H80" s="77" t="s">
        <v>250</v>
      </c>
      <c r="I80" s="78">
        <f t="shared" si="4"/>
        <v>2.3199999999999998</v>
      </c>
      <c r="J80" s="77">
        <v>1</v>
      </c>
      <c r="K80" s="90" t="str">
        <f t="shared" si="3"/>
        <v>1tab</v>
      </c>
    </row>
    <row r="81" spans="2:11" x14ac:dyDescent="0.25">
      <c r="B81" s="61">
        <v>81</v>
      </c>
      <c r="C81" s="65" t="s">
        <v>383</v>
      </c>
      <c r="D81" s="77">
        <v>1000</v>
      </c>
      <c r="E81" s="77" t="s">
        <v>250</v>
      </c>
      <c r="F81" s="77">
        <v>1203</v>
      </c>
      <c r="G81" s="78">
        <f>F81/D81</f>
        <v>1.2030000000000001</v>
      </c>
      <c r="H81" s="77" t="s">
        <v>250</v>
      </c>
      <c r="I81" s="78">
        <f t="shared" si="4"/>
        <v>1.3954800000000001</v>
      </c>
      <c r="J81" s="77">
        <v>1</v>
      </c>
      <c r="K81" s="90" t="str">
        <f t="shared" si="3"/>
        <v>1tab</v>
      </c>
    </row>
    <row r="82" spans="2:11" x14ac:dyDescent="0.25">
      <c r="B82" s="61">
        <v>178</v>
      </c>
      <c r="C82" s="65" t="s">
        <v>384</v>
      </c>
      <c r="D82" s="77"/>
      <c r="E82" s="77"/>
      <c r="F82" s="77"/>
      <c r="G82" s="78"/>
      <c r="H82" s="77"/>
      <c r="I82" s="78">
        <f t="shared" si="4"/>
        <v>0</v>
      </c>
      <c r="J82" s="77"/>
      <c r="K82" s="90" t="str">
        <f t="shared" si="3"/>
        <v/>
      </c>
    </row>
    <row r="83" spans="2:11" x14ac:dyDescent="0.25">
      <c r="B83" s="61">
        <v>196</v>
      </c>
      <c r="C83" s="65" t="s">
        <v>17</v>
      </c>
      <c r="D83" s="77"/>
      <c r="E83" s="77"/>
      <c r="F83" s="77"/>
      <c r="G83" s="78">
        <f>0.4*91</f>
        <v>36.4</v>
      </c>
      <c r="H83" s="77" t="s">
        <v>305</v>
      </c>
      <c r="I83" s="78">
        <f t="shared" si="4"/>
        <v>42.223999999999997</v>
      </c>
      <c r="J83" s="77">
        <v>1</v>
      </c>
      <c r="K83" s="90" t="str">
        <f t="shared" si="3"/>
        <v>1dose</v>
      </c>
    </row>
    <row r="84" spans="2:11" x14ac:dyDescent="0.25">
      <c r="B84" s="61">
        <v>97</v>
      </c>
      <c r="C84" s="65" t="s">
        <v>385</v>
      </c>
      <c r="D84" s="77">
        <v>1000</v>
      </c>
      <c r="E84" s="77" t="s">
        <v>250</v>
      </c>
      <c r="F84" s="77">
        <f>3.35*91</f>
        <v>304.85000000000002</v>
      </c>
      <c r="G84" s="78">
        <f>F84/D84</f>
        <v>0.30485000000000001</v>
      </c>
      <c r="H84" s="77" t="s">
        <v>250</v>
      </c>
      <c r="I84" s="78">
        <f t="shared" si="4"/>
        <v>0.353626</v>
      </c>
      <c r="J84" s="77">
        <v>1</v>
      </c>
      <c r="K84" s="90" t="str">
        <f t="shared" si="3"/>
        <v>1tab</v>
      </c>
    </row>
    <row r="85" spans="2:11" x14ac:dyDescent="0.25">
      <c r="B85" s="61">
        <v>35</v>
      </c>
      <c r="C85" s="92" t="s">
        <v>386</v>
      </c>
      <c r="D85" s="77"/>
      <c r="E85" s="77" t="s">
        <v>252</v>
      </c>
      <c r="F85" s="77"/>
      <c r="G85" s="78">
        <v>59</v>
      </c>
      <c r="H85" s="77"/>
      <c r="I85" s="78">
        <f t="shared" si="4"/>
        <v>68.44</v>
      </c>
      <c r="J85" s="77"/>
      <c r="K85" s="90" t="str">
        <f t="shared" si="3"/>
        <v/>
      </c>
    </row>
    <row r="86" spans="2:11" ht="30" x14ac:dyDescent="0.25">
      <c r="B86" s="61">
        <v>36</v>
      </c>
      <c r="C86" s="92" t="s">
        <v>387</v>
      </c>
      <c r="D86" s="77"/>
      <c r="E86" s="77" t="s">
        <v>252</v>
      </c>
      <c r="F86" s="77"/>
      <c r="G86" s="78">
        <v>30</v>
      </c>
      <c r="H86" s="77"/>
      <c r="I86" s="78">
        <f t="shared" si="4"/>
        <v>34.799999999999997</v>
      </c>
      <c r="J86" s="77"/>
      <c r="K86" s="90" t="str">
        <f t="shared" si="3"/>
        <v/>
      </c>
    </row>
    <row r="87" spans="2:11" x14ac:dyDescent="0.25">
      <c r="B87" s="61">
        <v>165</v>
      </c>
      <c r="C87" s="65" t="s">
        <v>388</v>
      </c>
      <c r="D87" s="77">
        <v>450</v>
      </c>
      <c r="E87" s="77" t="s">
        <v>312</v>
      </c>
      <c r="F87" s="77">
        <v>30</v>
      </c>
      <c r="G87" s="78">
        <f>F87/D87*5</f>
        <v>0.33333333333333331</v>
      </c>
      <c r="H87" s="77" t="s">
        <v>312</v>
      </c>
      <c r="I87" s="78">
        <f t="shared" si="4"/>
        <v>0.38666666666666666</v>
      </c>
      <c r="J87" s="77">
        <v>5</v>
      </c>
      <c r="K87" s="90" t="str">
        <f t="shared" si="3"/>
        <v>5ml</v>
      </c>
    </row>
    <row r="88" spans="2:11" x14ac:dyDescent="0.25">
      <c r="B88" s="61">
        <v>119</v>
      </c>
      <c r="C88" s="65" t="s">
        <v>389</v>
      </c>
      <c r="D88" s="77"/>
      <c r="E88" s="77"/>
      <c r="F88" s="77"/>
      <c r="G88" s="78">
        <f>0.1034*91</f>
        <v>9.4093999999999998</v>
      </c>
      <c r="H88" s="77" t="s">
        <v>312</v>
      </c>
      <c r="I88" s="78">
        <f t="shared" si="4"/>
        <v>10.914904</v>
      </c>
      <c r="J88" s="77">
        <v>1</v>
      </c>
      <c r="K88" s="90" t="str">
        <f t="shared" si="3"/>
        <v>1ml</v>
      </c>
    </row>
    <row r="89" spans="2:11" x14ac:dyDescent="0.25">
      <c r="B89" s="61">
        <v>118</v>
      </c>
      <c r="C89" s="65" t="s">
        <v>390</v>
      </c>
      <c r="D89" s="77">
        <v>1000</v>
      </c>
      <c r="E89" s="77" t="s">
        <v>250</v>
      </c>
      <c r="F89" s="77">
        <f>15.45*91</f>
        <v>1405.95</v>
      </c>
      <c r="G89" s="78">
        <f>F89/D89</f>
        <v>1.40595</v>
      </c>
      <c r="H89" s="77" t="s">
        <v>250</v>
      </c>
      <c r="I89" s="78">
        <f t="shared" si="4"/>
        <v>1.6309020000000001</v>
      </c>
      <c r="J89" s="77">
        <v>1</v>
      </c>
      <c r="K89" s="90" t="str">
        <f t="shared" si="3"/>
        <v>1tab</v>
      </c>
    </row>
    <row r="90" spans="2:11" x14ac:dyDescent="0.25">
      <c r="B90" s="61">
        <v>6</v>
      </c>
      <c r="C90" s="65" t="s">
        <v>22</v>
      </c>
      <c r="D90" s="77">
        <v>90</v>
      </c>
      <c r="E90" s="77" t="s">
        <v>312</v>
      </c>
      <c r="F90" s="77">
        <v>15</v>
      </c>
      <c r="G90" s="78">
        <f>F90/D90*5</f>
        <v>0.83333333333333326</v>
      </c>
      <c r="H90" s="77" t="s">
        <v>312</v>
      </c>
      <c r="I90" s="78">
        <f t="shared" si="4"/>
        <v>0.96666666666666656</v>
      </c>
      <c r="J90" s="77">
        <v>5</v>
      </c>
      <c r="K90" s="90" t="str">
        <f t="shared" si="3"/>
        <v>5ml</v>
      </c>
    </row>
    <row r="91" spans="2:11" x14ac:dyDescent="0.25">
      <c r="B91" s="61">
        <v>5</v>
      </c>
      <c r="C91" s="65" t="s">
        <v>147</v>
      </c>
      <c r="D91" s="77">
        <v>10</v>
      </c>
      <c r="E91" s="91" t="s">
        <v>250</v>
      </c>
      <c r="F91" s="77">
        <f>D91*0.8</f>
        <v>8</v>
      </c>
      <c r="G91" s="78">
        <v>0.8</v>
      </c>
      <c r="H91" s="77" t="s">
        <v>250</v>
      </c>
      <c r="I91" s="78">
        <f t="shared" si="4"/>
        <v>0.92800000000000005</v>
      </c>
      <c r="J91" s="77">
        <v>1</v>
      </c>
      <c r="K91" s="90" t="str">
        <f t="shared" si="3"/>
        <v>1tab</v>
      </c>
    </row>
    <row r="92" spans="2:11" x14ac:dyDescent="0.25">
      <c r="B92" s="61">
        <v>129</v>
      </c>
      <c r="C92" s="65" t="s">
        <v>391</v>
      </c>
      <c r="D92" s="77"/>
      <c r="E92" s="77"/>
      <c r="F92" s="77"/>
      <c r="G92" s="78">
        <v>254</v>
      </c>
      <c r="H92" s="77" t="s">
        <v>252</v>
      </c>
      <c r="I92" s="78">
        <f t="shared" si="4"/>
        <v>294.64</v>
      </c>
      <c r="J92" s="77">
        <v>1</v>
      </c>
      <c r="K92" s="90" t="str">
        <f t="shared" si="3"/>
        <v>1vial</v>
      </c>
    </row>
    <row r="93" spans="2:11" x14ac:dyDescent="0.25">
      <c r="B93" s="61">
        <v>128</v>
      </c>
      <c r="C93" s="65" t="s">
        <v>392</v>
      </c>
      <c r="D93" s="77"/>
      <c r="E93" s="77"/>
      <c r="F93" s="77"/>
      <c r="G93" s="78">
        <v>254</v>
      </c>
      <c r="H93" s="77" t="s">
        <v>252</v>
      </c>
      <c r="I93" s="78">
        <f t="shared" si="4"/>
        <v>294.64</v>
      </c>
      <c r="J93" s="77">
        <v>1</v>
      </c>
      <c r="K93" s="90" t="str">
        <f t="shared" si="3"/>
        <v>1vial</v>
      </c>
    </row>
    <row r="94" spans="2:11" x14ac:dyDescent="0.25">
      <c r="B94" s="61">
        <v>72</v>
      </c>
      <c r="C94" s="65" t="s">
        <v>393</v>
      </c>
      <c r="D94" s="77"/>
      <c r="E94" s="77" t="s">
        <v>250</v>
      </c>
      <c r="F94" s="77"/>
      <c r="G94" s="78">
        <v>3.25</v>
      </c>
      <c r="H94" s="77" t="s">
        <v>250</v>
      </c>
      <c r="I94" s="78">
        <f t="shared" si="4"/>
        <v>3.77</v>
      </c>
      <c r="J94" s="77">
        <v>1</v>
      </c>
      <c r="K94" s="90" t="str">
        <f t="shared" si="3"/>
        <v>1tab</v>
      </c>
    </row>
    <row r="95" spans="2:11" x14ac:dyDescent="0.25">
      <c r="B95" s="61">
        <v>75</v>
      </c>
      <c r="C95" s="65" t="s">
        <v>394</v>
      </c>
      <c r="D95" s="77">
        <v>1000</v>
      </c>
      <c r="E95" s="77" t="s">
        <v>250</v>
      </c>
      <c r="F95" s="77">
        <f>G95*D95</f>
        <v>1500</v>
      </c>
      <c r="G95" s="78">
        <v>1.5</v>
      </c>
      <c r="H95" s="77" t="s">
        <v>250</v>
      </c>
      <c r="I95" s="78">
        <f t="shared" si="4"/>
        <v>1.74</v>
      </c>
      <c r="J95" s="77">
        <v>1</v>
      </c>
      <c r="K95" s="90" t="str">
        <f t="shared" si="3"/>
        <v>1tab</v>
      </c>
    </row>
    <row r="96" spans="2:11" x14ac:dyDescent="0.25">
      <c r="B96" s="61">
        <v>104</v>
      </c>
      <c r="C96" s="65" t="s">
        <v>395</v>
      </c>
      <c r="D96" s="77">
        <v>10</v>
      </c>
      <c r="E96" s="77" t="s">
        <v>312</v>
      </c>
      <c r="F96" s="77"/>
      <c r="G96" s="78">
        <v>110</v>
      </c>
      <c r="H96" s="77" t="s">
        <v>312</v>
      </c>
      <c r="I96" s="78">
        <f t="shared" si="4"/>
        <v>127.6</v>
      </c>
      <c r="J96" s="77">
        <v>10</v>
      </c>
      <c r="K96" s="90" t="str">
        <f t="shared" si="3"/>
        <v>10ml</v>
      </c>
    </row>
    <row r="97" spans="2:11" x14ac:dyDescent="0.25">
      <c r="B97" s="61">
        <v>124</v>
      </c>
      <c r="C97" s="65" t="s">
        <v>11</v>
      </c>
      <c r="D97" s="77"/>
      <c r="E97" s="77"/>
      <c r="F97" s="77"/>
      <c r="G97" s="78"/>
      <c r="H97" s="77"/>
      <c r="I97" s="78">
        <f t="shared" si="4"/>
        <v>0</v>
      </c>
      <c r="J97" s="77"/>
      <c r="K97" s="90" t="str">
        <f t="shared" si="3"/>
        <v/>
      </c>
    </row>
    <row r="98" spans="2:11" x14ac:dyDescent="0.25">
      <c r="B98" s="61">
        <v>111</v>
      </c>
      <c r="C98" s="65" t="s">
        <v>396</v>
      </c>
      <c r="D98" s="77"/>
      <c r="E98" s="77"/>
      <c r="F98" s="77"/>
      <c r="G98" s="78"/>
      <c r="H98" s="77"/>
      <c r="I98" s="78">
        <f t="shared" si="4"/>
        <v>0</v>
      </c>
      <c r="J98" s="77"/>
      <c r="K98" s="90" t="str">
        <f t="shared" si="3"/>
        <v/>
      </c>
    </row>
    <row r="99" spans="2:11" x14ac:dyDescent="0.25">
      <c r="B99" s="61">
        <v>49</v>
      </c>
      <c r="C99" s="65" t="s">
        <v>397</v>
      </c>
      <c r="D99" s="77"/>
      <c r="E99" s="77"/>
      <c r="F99" s="77"/>
      <c r="G99" s="78"/>
      <c r="H99" s="77"/>
      <c r="I99" s="78">
        <f t="shared" si="4"/>
        <v>0</v>
      </c>
      <c r="J99" s="77"/>
      <c r="K99" s="90" t="str">
        <f t="shared" si="3"/>
        <v/>
      </c>
    </row>
    <row r="100" spans="2:11" x14ac:dyDescent="0.25">
      <c r="B100" s="61">
        <v>51</v>
      </c>
      <c r="C100" s="65" t="s">
        <v>398</v>
      </c>
      <c r="D100" s="77"/>
      <c r="E100" s="77"/>
      <c r="F100" s="77"/>
      <c r="G100" s="78">
        <v>5</v>
      </c>
      <c r="H100" s="77"/>
      <c r="I100" s="78">
        <f t="shared" si="4"/>
        <v>5.8</v>
      </c>
      <c r="J100" s="77"/>
      <c r="K100" s="93" t="s">
        <v>527</v>
      </c>
    </row>
    <row r="101" spans="2:11" x14ac:dyDescent="0.25">
      <c r="B101" s="61">
        <v>185</v>
      </c>
      <c r="C101" s="65" t="s">
        <v>399</v>
      </c>
      <c r="D101" s="77">
        <v>10</v>
      </c>
      <c r="E101" s="77" t="s">
        <v>312</v>
      </c>
      <c r="F101" s="77">
        <v>8</v>
      </c>
      <c r="G101" s="78">
        <f>F101/D101</f>
        <v>0.8</v>
      </c>
      <c r="H101" s="77" t="s">
        <v>312</v>
      </c>
      <c r="I101" s="78">
        <f t="shared" si="4"/>
        <v>0.92800000000000005</v>
      </c>
      <c r="J101" s="77">
        <v>1</v>
      </c>
      <c r="K101" s="90" t="str">
        <f t="shared" ref="K101:K126" si="5">J101&amp;H101</f>
        <v>1ml</v>
      </c>
    </row>
    <row r="102" spans="2:11" x14ac:dyDescent="0.25">
      <c r="B102" s="61">
        <v>186</v>
      </c>
      <c r="C102" s="65" t="s">
        <v>400</v>
      </c>
      <c r="D102" s="77">
        <v>50</v>
      </c>
      <c r="E102" s="77" t="s">
        <v>252</v>
      </c>
      <c r="F102" s="77">
        <v>700</v>
      </c>
      <c r="G102" s="78">
        <f>F102/D102</f>
        <v>14</v>
      </c>
      <c r="H102" s="77" t="s">
        <v>252</v>
      </c>
      <c r="I102" s="78">
        <f t="shared" si="4"/>
        <v>16.240000000000002</v>
      </c>
      <c r="J102" s="77">
        <v>1</v>
      </c>
      <c r="K102" s="90" t="str">
        <f t="shared" si="5"/>
        <v>1vial</v>
      </c>
    </row>
    <row r="103" spans="2:11" x14ac:dyDescent="0.25">
      <c r="B103" s="61">
        <v>93</v>
      </c>
      <c r="C103" s="65" t="s">
        <v>401</v>
      </c>
      <c r="D103" s="77">
        <v>50</v>
      </c>
      <c r="E103" s="77" t="s">
        <v>312</v>
      </c>
      <c r="F103" s="77">
        <v>90</v>
      </c>
      <c r="G103" s="78">
        <f>F103/D103</f>
        <v>1.8</v>
      </c>
      <c r="H103" s="77" t="s">
        <v>312</v>
      </c>
      <c r="I103" s="78">
        <f t="shared" si="4"/>
        <v>2.0880000000000001</v>
      </c>
      <c r="J103" s="77">
        <v>1</v>
      </c>
      <c r="K103" s="90" t="str">
        <f t="shared" si="5"/>
        <v>1ml</v>
      </c>
    </row>
    <row r="104" spans="2:11" x14ac:dyDescent="0.25">
      <c r="B104" s="61">
        <v>195</v>
      </c>
      <c r="C104" s="65" t="s">
        <v>16</v>
      </c>
      <c r="D104" s="77"/>
      <c r="E104" s="77"/>
      <c r="F104" s="77"/>
      <c r="G104" s="78">
        <f>0.3*91</f>
        <v>27.3</v>
      </c>
      <c r="H104" s="77" t="s">
        <v>305</v>
      </c>
      <c r="I104" s="78">
        <f t="shared" si="4"/>
        <v>31.667999999999999</v>
      </c>
      <c r="J104" s="77">
        <v>1</v>
      </c>
      <c r="K104" s="90" t="str">
        <f t="shared" si="5"/>
        <v>1dose</v>
      </c>
    </row>
    <row r="105" spans="2:11" x14ac:dyDescent="0.25">
      <c r="B105" s="61">
        <v>59</v>
      </c>
      <c r="C105" s="65" t="s">
        <v>402</v>
      </c>
      <c r="D105" s="77">
        <v>1000</v>
      </c>
      <c r="E105" s="77" t="s">
        <v>250</v>
      </c>
      <c r="F105" s="77">
        <v>151</v>
      </c>
      <c r="G105" s="78">
        <f>F105/D105</f>
        <v>0.151</v>
      </c>
      <c r="H105" s="77" t="s">
        <v>250</v>
      </c>
      <c r="I105" s="78">
        <f t="shared" si="4"/>
        <v>0.17515999999999998</v>
      </c>
      <c r="J105" s="77">
        <v>1</v>
      </c>
      <c r="K105" s="90" t="str">
        <f t="shared" si="5"/>
        <v>1tab</v>
      </c>
    </row>
    <row r="106" spans="2:11" x14ac:dyDescent="0.25">
      <c r="B106" s="61">
        <v>58</v>
      </c>
      <c r="C106" s="65" t="s">
        <v>403</v>
      </c>
      <c r="D106" s="77">
        <v>1000</v>
      </c>
      <c r="E106" s="77" t="s">
        <v>250</v>
      </c>
      <c r="F106" s="77">
        <v>342</v>
      </c>
      <c r="G106" s="78">
        <f>F106/D106</f>
        <v>0.34200000000000003</v>
      </c>
      <c r="H106" s="77" t="s">
        <v>250</v>
      </c>
      <c r="I106" s="78">
        <f t="shared" si="4"/>
        <v>0.39672000000000002</v>
      </c>
      <c r="J106" s="77">
        <v>1</v>
      </c>
      <c r="K106" s="90" t="str">
        <f t="shared" si="5"/>
        <v>1tab</v>
      </c>
    </row>
    <row r="107" spans="2:11" x14ac:dyDescent="0.25">
      <c r="B107" s="61">
        <v>47</v>
      </c>
      <c r="C107" s="65" t="s">
        <v>404</v>
      </c>
      <c r="D107" s="77"/>
      <c r="E107" s="77" t="s">
        <v>252</v>
      </c>
      <c r="F107" s="77"/>
      <c r="G107" s="78">
        <v>7</v>
      </c>
      <c r="H107" s="77" t="s">
        <v>325</v>
      </c>
      <c r="I107" s="78">
        <f t="shared" si="4"/>
        <v>8.120000000000001</v>
      </c>
      <c r="J107" s="77">
        <v>1</v>
      </c>
      <c r="K107" s="90" t="str">
        <f t="shared" si="5"/>
        <v>1inj</v>
      </c>
    </row>
    <row r="108" spans="2:11" x14ac:dyDescent="0.25">
      <c r="B108" s="61">
        <v>44</v>
      </c>
      <c r="C108" s="65" t="s">
        <v>405</v>
      </c>
      <c r="D108" s="77"/>
      <c r="E108" s="77"/>
      <c r="F108" s="77"/>
      <c r="G108" s="78"/>
      <c r="H108" s="77"/>
      <c r="I108" s="78">
        <f t="shared" si="4"/>
        <v>0</v>
      </c>
      <c r="J108" s="77"/>
      <c r="K108" s="90" t="str">
        <f t="shared" si="5"/>
        <v/>
      </c>
    </row>
    <row r="109" spans="2:11" x14ac:dyDescent="0.25">
      <c r="B109" s="61">
        <v>127</v>
      </c>
      <c r="C109" s="65" t="s">
        <v>406</v>
      </c>
      <c r="D109" s="77"/>
      <c r="E109" s="77"/>
      <c r="F109" s="77"/>
      <c r="G109" s="78">
        <v>0.4</v>
      </c>
      <c r="H109" s="77" t="s">
        <v>250</v>
      </c>
      <c r="I109" s="78">
        <f t="shared" si="4"/>
        <v>0.46400000000000002</v>
      </c>
      <c r="J109" s="77">
        <v>1</v>
      </c>
      <c r="K109" s="90" t="str">
        <f t="shared" si="5"/>
        <v>1tab</v>
      </c>
    </row>
    <row r="110" spans="2:11" x14ac:dyDescent="0.25">
      <c r="B110" s="61">
        <v>105</v>
      </c>
      <c r="C110" s="65" t="s">
        <v>407</v>
      </c>
      <c r="D110" s="77"/>
      <c r="E110" s="77"/>
      <c r="F110" s="77"/>
      <c r="G110" s="78">
        <v>3</v>
      </c>
      <c r="H110" s="77" t="s">
        <v>250</v>
      </c>
      <c r="I110" s="78">
        <f t="shared" si="4"/>
        <v>3.48</v>
      </c>
      <c r="J110" s="77">
        <v>1</v>
      </c>
      <c r="K110" s="90" t="str">
        <f t="shared" si="5"/>
        <v>1tab</v>
      </c>
    </row>
    <row r="111" spans="2:11" x14ac:dyDescent="0.25">
      <c r="B111" s="61">
        <v>28</v>
      </c>
      <c r="C111" s="65" t="s">
        <v>408</v>
      </c>
      <c r="D111" s="77">
        <v>60</v>
      </c>
      <c r="E111" s="77" t="s">
        <v>312</v>
      </c>
      <c r="F111" s="77">
        <v>13</v>
      </c>
      <c r="G111" s="78">
        <f>F111/D111*5</f>
        <v>1.0833333333333335</v>
      </c>
      <c r="H111" s="77" t="s">
        <v>312</v>
      </c>
      <c r="I111" s="78">
        <f t="shared" si="4"/>
        <v>1.2566666666666668</v>
      </c>
      <c r="J111" s="77">
        <v>5</v>
      </c>
      <c r="K111" s="90" t="str">
        <f t="shared" si="5"/>
        <v>5ml</v>
      </c>
    </row>
    <row r="112" spans="2:11" x14ac:dyDescent="0.25">
      <c r="B112" s="61">
        <v>27</v>
      </c>
      <c r="C112" s="65" t="s">
        <v>409</v>
      </c>
      <c r="D112" s="77"/>
      <c r="E112" s="91" t="s">
        <v>250</v>
      </c>
      <c r="F112" s="77"/>
      <c r="G112" s="78">
        <v>0.7</v>
      </c>
      <c r="H112" s="77" t="s">
        <v>250</v>
      </c>
      <c r="I112" s="78">
        <f t="shared" si="4"/>
        <v>0.81199999999999994</v>
      </c>
      <c r="J112" s="77">
        <v>1</v>
      </c>
      <c r="K112" s="90" t="str">
        <f t="shared" si="5"/>
        <v>1tab</v>
      </c>
    </row>
    <row r="113" spans="2:11" x14ac:dyDescent="0.25">
      <c r="B113" s="61">
        <v>82</v>
      </c>
      <c r="C113" s="65" t="s">
        <v>410</v>
      </c>
      <c r="D113" s="77">
        <v>15</v>
      </c>
      <c r="E113" s="77" t="s">
        <v>350</v>
      </c>
      <c r="F113" s="77">
        <f>D113*1.27</f>
        <v>19.05</v>
      </c>
      <c r="G113" s="78">
        <f>F113/D113</f>
        <v>1.27</v>
      </c>
      <c r="H113" s="77" t="s">
        <v>350</v>
      </c>
      <c r="I113" s="78">
        <f t="shared" si="4"/>
        <v>1.4732000000000001</v>
      </c>
      <c r="J113" s="77">
        <v>1</v>
      </c>
      <c r="K113" s="90" t="str">
        <f t="shared" si="5"/>
        <v>1gm</v>
      </c>
    </row>
    <row r="114" spans="2:11" x14ac:dyDescent="0.25">
      <c r="B114" s="61">
        <v>41</v>
      </c>
      <c r="C114" s="65" t="s">
        <v>411</v>
      </c>
      <c r="D114" s="77"/>
      <c r="E114" s="91" t="s">
        <v>250</v>
      </c>
      <c r="F114" s="77"/>
      <c r="G114" s="78">
        <f>0.2141*91</f>
        <v>19.4831</v>
      </c>
      <c r="H114" s="77" t="s">
        <v>250</v>
      </c>
      <c r="I114" s="78">
        <f t="shared" si="4"/>
        <v>22.600396</v>
      </c>
      <c r="J114" s="77">
        <v>1</v>
      </c>
      <c r="K114" s="90" t="str">
        <f t="shared" si="5"/>
        <v>1tab</v>
      </c>
    </row>
    <row r="115" spans="2:11" x14ac:dyDescent="0.25">
      <c r="B115" s="61">
        <v>25</v>
      </c>
      <c r="C115" s="65" t="s">
        <v>412</v>
      </c>
      <c r="D115" s="77">
        <v>3.15</v>
      </c>
      <c r="E115" s="91" t="s">
        <v>250</v>
      </c>
      <c r="F115" s="77"/>
      <c r="G115" s="78">
        <f>D115</f>
        <v>3.15</v>
      </c>
      <c r="H115" s="77" t="s">
        <v>250</v>
      </c>
      <c r="I115" s="78">
        <f t="shared" si="4"/>
        <v>3.6539999999999999</v>
      </c>
      <c r="J115" s="77">
        <v>1</v>
      </c>
      <c r="K115" s="90" t="str">
        <f t="shared" si="5"/>
        <v>1tab</v>
      </c>
    </row>
    <row r="116" spans="2:11" x14ac:dyDescent="0.25">
      <c r="B116" s="61">
        <v>161</v>
      </c>
      <c r="C116" s="65" t="s">
        <v>413</v>
      </c>
      <c r="D116" s="77"/>
      <c r="E116" s="77"/>
      <c r="F116" s="77"/>
      <c r="G116" s="78">
        <v>61</v>
      </c>
      <c r="H116" s="77" t="s">
        <v>312</v>
      </c>
      <c r="I116" s="78">
        <f t="shared" si="4"/>
        <v>70.760000000000005</v>
      </c>
      <c r="J116" s="77">
        <v>1</v>
      </c>
      <c r="K116" s="90" t="str">
        <f t="shared" si="5"/>
        <v>1ml</v>
      </c>
    </row>
    <row r="117" spans="2:11" x14ac:dyDescent="0.25">
      <c r="B117" s="61">
        <v>24</v>
      </c>
      <c r="C117" s="65" t="s">
        <v>414</v>
      </c>
      <c r="D117" s="77">
        <v>15</v>
      </c>
      <c r="E117" s="77" t="s">
        <v>350</v>
      </c>
      <c r="F117" s="77">
        <v>13</v>
      </c>
      <c r="G117" s="78">
        <f>F117/D117*(5)</f>
        <v>4.3333333333333339</v>
      </c>
      <c r="H117" s="77" t="s">
        <v>350</v>
      </c>
      <c r="I117" s="78">
        <f t="shared" si="4"/>
        <v>5.0266666666666673</v>
      </c>
      <c r="J117" s="77">
        <v>5</v>
      </c>
      <c r="K117" s="90" t="str">
        <f t="shared" si="5"/>
        <v>5gm</v>
      </c>
    </row>
    <row r="118" spans="2:11" x14ac:dyDescent="0.25">
      <c r="B118" s="61">
        <v>48</v>
      </c>
      <c r="C118" s="65" t="s">
        <v>415</v>
      </c>
      <c r="D118" s="77"/>
      <c r="E118" s="77" t="s">
        <v>250</v>
      </c>
      <c r="F118" s="77"/>
      <c r="G118" s="78"/>
      <c r="H118" s="77"/>
      <c r="I118" s="78">
        <f t="shared" si="4"/>
        <v>0</v>
      </c>
      <c r="J118" s="77"/>
      <c r="K118" s="90" t="str">
        <f t="shared" si="5"/>
        <v/>
      </c>
    </row>
    <row r="119" spans="2:11" x14ac:dyDescent="0.25">
      <c r="B119" s="61">
        <v>46</v>
      </c>
      <c r="C119" s="65" t="s">
        <v>416</v>
      </c>
      <c r="D119" s="77"/>
      <c r="E119" s="77" t="s">
        <v>252</v>
      </c>
      <c r="F119" s="77"/>
      <c r="G119" s="78">
        <v>7</v>
      </c>
      <c r="H119" s="77" t="s">
        <v>252</v>
      </c>
      <c r="I119" s="78">
        <f t="shared" si="4"/>
        <v>8.120000000000001</v>
      </c>
      <c r="J119" s="77">
        <v>1</v>
      </c>
      <c r="K119" s="90" t="str">
        <f t="shared" si="5"/>
        <v>1vial</v>
      </c>
    </row>
    <row r="120" spans="2:11" x14ac:dyDescent="0.25">
      <c r="B120" s="61">
        <v>26</v>
      </c>
      <c r="C120" s="65" t="s">
        <v>417</v>
      </c>
      <c r="D120" s="77"/>
      <c r="E120" s="91" t="s">
        <v>250</v>
      </c>
      <c r="F120" s="77"/>
      <c r="G120" s="78">
        <v>3</v>
      </c>
      <c r="H120" s="77" t="s">
        <v>250</v>
      </c>
      <c r="I120" s="78">
        <f t="shared" si="4"/>
        <v>3.48</v>
      </c>
      <c r="J120" s="77">
        <v>1</v>
      </c>
      <c r="K120" s="90" t="str">
        <f t="shared" si="5"/>
        <v>1tab</v>
      </c>
    </row>
    <row r="121" spans="2:11" x14ac:dyDescent="0.25">
      <c r="B121" s="61">
        <v>79</v>
      </c>
      <c r="C121" s="65" t="s">
        <v>418</v>
      </c>
      <c r="D121" s="77">
        <v>30</v>
      </c>
      <c r="E121" s="77" t="s">
        <v>312</v>
      </c>
      <c r="F121" s="77">
        <v>63</v>
      </c>
      <c r="G121" s="78">
        <f>(0.023*91)/30*5</f>
        <v>0.34883333333333333</v>
      </c>
      <c r="H121" s="77" t="s">
        <v>312</v>
      </c>
      <c r="I121" s="78">
        <f t="shared" si="4"/>
        <v>0.40464666666666665</v>
      </c>
      <c r="J121" s="77">
        <v>5</v>
      </c>
      <c r="K121" s="90" t="str">
        <f t="shared" si="5"/>
        <v>5ml</v>
      </c>
    </row>
    <row r="122" spans="2:11" x14ac:dyDescent="0.25">
      <c r="B122" s="61">
        <v>78</v>
      </c>
      <c r="C122" s="65" t="s">
        <v>419</v>
      </c>
      <c r="D122" s="77"/>
      <c r="E122" s="77" t="s">
        <v>250</v>
      </c>
      <c r="F122" s="77"/>
      <c r="G122" s="78">
        <v>3.1</v>
      </c>
      <c r="H122" s="77" t="s">
        <v>250</v>
      </c>
      <c r="I122" s="78">
        <f t="shared" si="4"/>
        <v>3.5960000000000001</v>
      </c>
      <c r="J122" s="77">
        <v>1</v>
      </c>
      <c r="K122" s="90" t="str">
        <f t="shared" si="5"/>
        <v>1tab</v>
      </c>
    </row>
    <row r="123" spans="2:11" x14ac:dyDescent="0.25">
      <c r="B123" s="61">
        <v>43</v>
      </c>
      <c r="C123" s="65" t="s">
        <v>420</v>
      </c>
      <c r="D123" s="77"/>
      <c r="E123" s="77"/>
      <c r="F123" s="77"/>
      <c r="G123" s="78"/>
      <c r="H123" s="77"/>
      <c r="I123" s="78">
        <f t="shared" si="4"/>
        <v>0</v>
      </c>
      <c r="J123" s="77"/>
      <c r="K123" s="90" t="str">
        <f t="shared" si="5"/>
        <v/>
      </c>
    </row>
    <row r="124" spans="2:11" x14ac:dyDescent="0.25">
      <c r="B124" s="61">
        <v>112</v>
      </c>
      <c r="C124" s="65" t="s">
        <v>421</v>
      </c>
      <c r="D124" s="77"/>
      <c r="E124" s="77"/>
      <c r="F124" s="77"/>
      <c r="G124" s="78">
        <v>0.75</v>
      </c>
      <c r="H124" s="77" t="s">
        <v>373</v>
      </c>
      <c r="I124" s="78">
        <f t="shared" si="4"/>
        <v>0.87</v>
      </c>
      <c r="J124" s="77">
        <v>1</v>
      </c>
      <c r="K124" s="90" t="str">
        <f t="shared" si="5"/>
        <v>1cap</v>
      </c>
    </row>
    <row r="125" spans="2:11" x14ac:dyDescent="0.25">
      <c r="B125" s="61">
        <v>193</v>
      </c>
      <c r="C125" s="65" t="s">
        <v>15</v>
      </c>
      <c r="D125" s="77"/>
      <c r="E125" s="77"/>
      <c r="F125" s="77"/>
      <c r="G125" s="78">
        <f>(3.1*91)/20</f>
        <v>14.105</v>
      </c>
      <c r="H125" s="77" t="s">
        <v>305</v>
      </c>
      <c r="I125" s="78">
        <f t="shared" si="4"/>
        <v>16.361800000000002</v>
      </c>
      <c r="J125" s="77">
        <v>1</v>
      </c>
      <c r="K125" s="90" t="str">
        <f t="shared" si="5"/>
        <v>1dose</v>
      </c>
    </row>
    <row r="126" spans="2:11" ht="60" x14ac:dyDescent="0.25">
      <c r="B126" s="61">
        <v>54</v>
      </c>
      <c r="C126" s="92" t="s">
        <v>422</v>
      </c>
      <c r="D126" s="77"/>
      <c r="E126" s="77"/>
      <c r="F126" s="77"/>
      <c r="G126" s="78">
        <v>3.5</v>
      </c>
      <c r="H126" s="77" t="s">
        <v>423</v>
      </c>
      <c r="I126" s="78">
        <f t="shared" si="4"/>
        <v>4.0600000000000005</v>
      </c>
      <c r="J126" s="77">
        <v>1</v>
      </c>
      <c r="K126" s="90" t="str">
        <f t="shared" si="5"/>
        <v>1pack</v>
      </c>
    </row>
    <row r="127" spans="2:11" ht="30" x14ac:dyDescent="0.25">
      <c r="B127" s="61">
        <v>53</v>
      </c>
      <c r="C127" s="92" t="s">
        <v>424</v>
      </c>
      <c r="D127" s="77">
        <v>20</v>
      </c>
      <c r="E127" s="77" t="s">
        <v>423</v>
      </c>
      <c r="F127" s="77">
        <v>74</v>
      </c>
      <c r="G127" s="78">
        <f>F127/D127</f>
        <v>3.7</v>
      </c>
      <c r="H127" s="77" t="s">
        <v>423</v>
      </c>
      <c r="I127" s="78">
        <f t="shared" si="4"/>
        <v>4.2919999999999998</v>
      </c>
      <c r="J127" s="77">
        <v>1</v>
      </c>
      <c r="K127" s="90" t="str">
        <f t="shared" ref="K127:K172" si="6">J127&amp;H127</f>
        <v>1pack</v>
      </c>
    </row>
    <row r="128" spans="2:11" x14ac:dyDescent="0.25">
      <c r="B128" s="61">
        <v>39</v>
      </c>
      <c r="C128" s="92" t="s">
        <v>425</v>
      </c>
      <c r="D128" s="77">
        <v>9</v>
      </c>
      <c r="E128" s="77" t="s">
        <v>252</v>
      </c>
      <c r="F128" s="77"/>
      <c r="G128" s="78">
        <v>9</v>
      </c>
      <c r="H128" s="77" t="s">
        <v>325</v>
      </c>
      <c r="I128" s="78">
        <f t="shared" si="4"/>
        <v>10.44</v>
      </c>
      <c r="J128" s="77">
        <v>1</v>
      </c>
      <c r="K128" s="90" t="str">
        <f t="shared" si="6"/>
        <v>1inj</v>
      </c>
    </row>
    <row r="129" spans="2:11" x14ac:dyDescent="0.25">
      <c r="B129" s="61">
        <v>194</v>
      </c>
      <c r="C129" s="65" t="s">
        <v>426</v>
      </c>
      <c r="D129" s="77"/>
      <c r="E129" s="77"/>
      <c r="F129" s="77"/>
      <c r="G129" s="78">
        <v>340</v>
      </c>
      <c r="H129" s="77" t="s">
        <v>305</v>
      </c>
      <c r="I129" s="78">
        <f t="shared" si="4"/>
        <v>394.4</v>
      </c>
      <c r="J129" s="77"/>
      <c r="K129" s="90" t="str">
        <f t="shared" si="6"/>
        <v>dose</v>
      </c>
    </row>
    <row r="130" spans="2:11" x14ac:dyDescent="0.25">
      <c r="B130" s="61">
        <v>89</v>
      </c>
      <c r="C130" s="81" t="s">
        <v>522</v>
      </c>
      <c r="D130" s="77"/>
      <c r="E130" s="77"/>
      <c r="F130" s="77"/>
      <c r="G130" s="78"/>
      <c r="H130" s="91" t="s">
        <v>305</v>
      </c>
      <c r="I130" s="78">
        <f>7*91</f>
        <v>637</v>
      </c>
      <c r="J130" s="77">
        <v>1</v>
      </c>
      <c r="K130" s="90" t="str">
        <f t="shared" si="6"/>
        <v>1dose</v>
      </c>
    </row>
    <row r="131" spans="2:11" x14ac:dyDescent="0.25">
      <c r="B131" s="61">
        <v>181</v>
      </c>
      <c r="C131" s="65" t="s">
        <v>427</v>
      </c>
      <c r="D131" s="77">
        <v>100</v>
      </c>
      <c r="E131" s="77" t="s">
        <v>350</v>
      </c>
      <c r="F131" s="77">
        <f>4.25*91</f>
        <v>386.75</v>
      </c>
      <c r="G131" s="78">
        <f>F131/D131</f>
        <v>3.8675000000000002</v>
      </c>
      <c r="H131" s="77" t="s">
        <v>350</v>
      </c>
      <c r="I131" s="78">
        <f t="shared" si="4"/>
        <v>4.4863</v>
      </c>
      <c r="J131" s="77">
        <v>1</v>
      </c>
      <c r="K131" s="90" t="str">
        <f t="shared" si="6"/>
        <v>1gm</v>
      </c>
    </row>
    <row r="132" spans="2:11" x14ac:dyDescent="0.25">
      <c r="B132" s="61">
        <v>132</v>
      </c>
      <c r="C132" s="65" t="s">
        <v>428</v>
      </c>
      <c r="D132" s="77">
        <v>20</v>
      </c>
      <c r="E132" s="77" t="s">
        <v>350</v>
      </c>
      <c r="F132" s="77">
        <v>40</v>
      </c>
      <c r="G132" s="78">
        <f>F132/D132*1</f>
        <v>2</v>
      </c>
      <c r="H132" s="77" t="s">
        <v>350</v>
      </c>
      <c r="I132" s="78">
        <f t="shared" si="4"/>
        <v>2.3199999999999998</v>
      </c>
      <c r="J132" s="77">
        <v>1</v>
      </c>
      <c r="K132" s="90" t="str">
        <f t="shared" si="6"/>
        <v>1gm</v>
      </c>
    </row>
    <row r="133" spans="2:11" x14ac:dyDescent="0.25">
      <c r="B133" s="61">
        <v>139</v>
      </c>
      <c r="C133" s="65" t="s">
        <v>429</v>
      </c>
      <c r="D133" s="77"/>
      <c r="E133" s="77"/>
      <c r="F133" s="77"/>
      <c r="G133" s="78"/>
      <c r="H133" s="77"/>
      <c r="I133" s="78">
        <f t="shared" si="4"/>
        <v>0</v>
      </c>
      <c r="J133" s="77"/>
      <c r="K133" s="90" t="str">
        <f t="shared" si="6"/>
        <v/>
      </c>
    </row>
    <row r="134" spans="2:11" ht="30" x14ac:dyDescent="0.25">
      <c r="B134" s="61">
        <v>163</v>
      </c>
      <c r="C134" s="92" t="s">
        <v>430</v>
      </c>
      <c r="D134" s="77"/>
      <c r="E134" s="77"/>
      <c r="F134" s="77"/>
      <c r="G134" s="78"/>
      <c r="H134" s="77"/>
      <c r="I134" s="78">
        <f t="shared" si="4"/>
        <v>0</v>
      </c>
      <c r="J134" s="77"/>
      <c r="K134" s="90" t="str">
        <f t="shared" si="6"/>
        <v/>
      </c>
    </row>
    <row r="135" spans="2:11" x14ac:dyDescent="0.25">
      <c r="B135" s="61">
        <v>146</v>
      </c>
      <c r="C135" s="65" t="s">
        <v>431</v>
      </c>
      <c r="D135" s="77">
        <v>450</v>
      </c>
      <c r="E135" s="77" t="s">
        <v>312</v>
      </c>
      <c r="F135" s="77">
        <v>128</v>
      </c>
      <c r="G135" s="78">
        <f>F135/D135*5</f>
        <v>1.4222222222222223</v>
      </c>
      <c r="H135" s="77" t="s">
        <v>312</v>
      </c>
      <c r="I135" s="78">
        <f t="shared" si="4"/>
        <v>1.6497777777777778</v>
      </c>
      <c r="J135" s="77">
        <v>5</v>
      </c>
      <c r="K135" s="90" t="str">
        <f t="shared" si="6"/>
        <v>5ml</v>
      </c>
    </row>
    <row r="136" spans="2:11" x14ac:dyDescent="0.25">
      <c r="B136" s="61">
        <v>67</v>
      </c>
      <c r="C136" s="65" t="s">
        <v>432</v>
      </c>
      <c r="D136" s="77"/>
      <c r="E136" s="77"/>
      <c r="F136" s="77"/>
      <c r="G136" s="78">
        <v>1.1000000000000001</v>
      </c>
      <c r="H136" s="77" t="s">
        <v>250</v>
      </c>
      <c r="I136" s="78">
        <f t="shared" si="4"/>
        <v>1.276</v>
      </c>
      <c r="J136" s="77">
        <v>1</v>
      </c>
      <c r="K136" s="90" t="str">
        <f t="shared" si="6"/>
        <v>1tab</v>
      </c>
    </row>
    <row r="137" spans="2:11" x14ac:dyDescent="0.25">
      <c r="B137" s="61">
        <v>102</v>
      </c>
      <c r="C137" s="65" t="s">
        <v>433</v>
      </c>
      <c r="D137" s="77"/>
      <c r="E137" s="77" t="s">
        <v>250</v>
      </c>
      <c r="F137" s="77"/>
      <c r="G137" s="78">
        <v>1</v>
      </c>
      <c r="H137" s="77" t="s">
        <v>250</v>
      </c>
      <c r="I137" s="78">
        <f t="shared" si="4"/>
        <v>1.1599999999999999</v>
      </c>
      <c r="J137" s="77">
        <v>1</v>
      </c>
      <c r="K137" s="90" t="str">
        <f t="shared" si="6"/>
        <v>1tab</v>
      </c>
    </row>
    <row r="138" spans="2:11" x14ac:dyDescent="0.25">
      <c r="B138" s="61">
        <v>155</v>
      </c>
      <c r="C138" s="65" t="s">
        <v>434</v>
      </c>
      <c r="D138" s="77"/>
      <c r="E138" s="77"/>
      <c r="F138" s="77"/>
      <c r="G138" s="78">
        <v>0.47</v>
      </c>
      <c r="H138" s="77" t="s">
        <v>250</v>
      </c>
      <c r="I138" s="78">
        <f t="shared" si="4"/>
        <v>0.54520000000000002</v>
      </c>
      <c r="J138" s="77">
        <v>1</v>
      </c>
      <c r="K138" s="90" t="str">
        <f t="shared" si="6"/>
        <v>1tab</v>
      </c>
    </row>
    <row r="139" spans="2:11" x14ac:dyDescent="0.25">
      <c r="B139" s="61">
        <v>110</v>
      </c>
      <c r="C139" s="65" t="s">
        <v>435</v>
      </c>
      <c r="D139" s="77"/>
      <c r="E139" s="77"/>
      <c r="F139" s="77"/>
      <c r="G139" s="78">
        <v>1.5</v>
      </c>
      <c r="H139" s="77" t="s">
        <v>250</v>
      </c>
      <c r="I139" s="78">
        <f t="shared" si="4"/>
        <v>1.74</v>
      </c>
      <c r="J139" s="77">
        <v>1</v>
      </c>
      <c r="K139" s="90" t="str">
        <f t="shared" si="6"/>
        <v>1tab</v>
      </c>
    </row>
    <row r="140" spans="2:11" x14ac:dyDescent="0.25">
      <c r="B140" s="61">
        <v>73</v>
      </c>
      <c r="C140" s="65" t="s">
        <v>436</v>
      </c>
      <c r="D140" s="77">
        <v>20</v>
      </c>
      <c r="E140" s="77" t="s">
        <v>250</v>
      </c>
      <c r="F140" s="77">
        <v>20</v>
      </c>
      <c r="G140" s="78">
        <v>1</v>
      </c>
      <c r="H140" s="77" t="s">
        <v>250</v>
      </c>
      <c r="I140" s="78">
        <f t="shared" ref="I140:I176" si="7">((SUM($G$2:$G$4)*G140)+G140)</f>
        <v>1.1599999999999999</v>
      </c>
      <c r="J140" s="77">
        <v>1</v>
      </c>
      <c r="K140" s="90" t="str">
        <f t="shared" si="6"/>
        <v>1tab</v>
      </c>
    </row>
    <row r="141" spans="2:11" ht="45" x14ac:dyDescent="0.25">
      <c r="B141" s="61">
        <v>70</v>
      </c>
      <c r="C141" s="92" t="s">
        <v>437</v>
      </c>
      <c r="D141" s="77"/>
      <c r="E141" s="77" t="s">
        <v>250</v>
      </c>
      <c r="F141" s="77"/>
      <c r="G141" s="78">
        <v>6</v>
      </c>
      <c r="H141" s="77" t="s">
        <v>250</v>
      </c>
      <c r="I141" s="78">
        <f t="shared" si="7"/>
        <v>6.96</v>
      </c>
      <c r="J141" s="77">
        <v>1</v>
      </c>
      <c r="K141" s="90" t="str">
        <f t="shared" si="6"/>
        <v>1tab</v>
      </c>
    </row>
    <row r="142" spans="2:11" x14ac:dyDescent="0.25">
      <c r="B142" s="61">
        <v>71</v>
      </c>
      <c r="C142" s="65" t="s">
        <v>438</v>
      </c>
      <c r="D142" s="77"/>
      <c r="E142" s="77" t="s">
        <v>250</v>
      </c>
      <c r="F142" s="77"/>
      <c r="G142" s="78">
        <f>2+0.5</f>
        <v>2.5</v>
      </c>
      <c r="H142" s="77" t="s">
        <v>250</v>
      </c>
      <c r="I142" s="78">
        <f t="shared" si="7"/>
        <v>2.9</v>
      </c>
      <c r="J142" s="77">
        <v>1</v>
      </c>
      <c r="K142" s="90" t="str">
        <f t="shared" si="6"/>
        <v>1tab</v>
      </c>
    </row>
    <row r="143" spans="2:11" x14ac:dyDescent="0.25">
      <c r="B143" s="61">
        <v>176</v>
      </c>
      <c r="C143" s="65" t="s">
        <v>439</v>
      </c>
      <c r="D143" s="77"/>
      <c r="E143" s="77" t="s">
        <v>250</v>
      </c>
      <c r="F143" s="77"/>
      <c r="G143" s="78">
        <v>4.5</v>
      </c>
      <c r="H143" s="77" t="s">
        <v>250</v>
      </c>
      <c r="I143" s="78">
        <f t="shared" si="7"/>
        <v>5.22</v>
      </c>
      <c r="J143" s="77">
        <v>1</v>
      </c>
      <c r="K143" s="90" t="str">
        <f t="shared" si="6"/>
        <v>1tab</v>
      </c>
    </row>
    <row r="144" spans="2:11" x14ac:dyDescent="0.25">
      <c r="B144" s="61">
        <v>177</v>
      </c>
      <c r="C144" s="65" t="s">
        <v>440</v>
      </c>
      <c r="D144" s="77">
        <v>1000</v>
      </c>
      <c r="E144" s="77" t="s">
        <v>312</v>
      </c>
      <c r="F144" s="77">
        <v>50</v>
      </c>
      <c r="G144" s="78">
        <v>50</v>
      </c>
      <c r="H144" s="77" t="s">
        <v>312</v>
      </c>
      <c r="I144" s="78">
        <f t="shared" si="7"/>
        <v>58</v>
      </c>
      <c r="J144" s="77">
        <v>1000</v>
      </c>
      <c r="K144" s="90" t="str">
        <f t="shared" si="6"/>
        <v>1000ml</v>
      </c>
    </row>
    <row r="145" spans="2:11" x14ac:dyDescent="0.25">
      <c r="B145" s="61">
        <v>141</v>
      </c>
      <c r="C145" s="65" t="s">
        <v>441</v>
      </c>
      <c r="D145" s="77">
        <v>500</v>
      </c>
      <c r="E145" s="77" t="s">
        <v>312</v>
      </c>
      <c r="F145" s="77">
        <v>35</v>
      </c>
      <c r="G145" s="78">
        <v>35</v>
      </c>
      <c r="H145" s="77" t="s">
        <v>312</v>
      </c>
      <c r="I145" s="78">
        <f t="shared" si="7"/>
        <v>40.6</v>
      </c>
      <c r="J145" s="77">
        <v>500</v>
      </c>
      <c r="K145" s="90" t="str">
        <f t="shared" si="6"/>
        <v>500ml</v>
      </c>
    </row>
    <row r="146" spans="2:11" x14ac:dyDescent="0.25">
      <c r="B146" s="61">
        <v>143</v>
      </c>
      <c r="C146" s="65" t="s">
        <v>442</v>
      </c>
      <c r="D146" s="77">
        <v>20</v>
      </c>
      <c r="E146" s="77" t="s">
        <v>312</v>
      </c>
      <c r="F146" s="77">
        <v>18</v>
      </c>
      <c r="G146" s="78">
        <f>F146/D146</f>
        <v>0.9</v>
      </c>
      <c r="H146" s="77" t="s">
        <v>312</v>
      </c>
      <c r="I146" s="78">
        <f t="shared" si="7"/>
        <v>1.044</v>
      </c>
      <c r="J146" s="77">
        <v>1</v>
      </c>
      <c r="K146" s="90" t="str">
        <f t="shared" si="6"/>
        <v>1ml</v>
      </c>
    </row>
    <row r="147" spans="2:11" x14ac:dyDescent="0.25">
      <c r="B147" s="61">
        <v>142</v>
      </c>
      <c r="C147" s="65" t="s">
        <v>443</v>
      </c>
      <c r="D147" s="77">
        <v>100</v>
      </c>
      <c r="E147" s="77" t="s">
        <v>312</v>
      </c>
      <c r="F147" s="77">
        <f>G147/5*D147</f>
        <v>52.779999999999994</v>
      </c>
      <c r="G147" s="78">
        <f>0.0058*91*5</f>
        <v>2.6389999999999998</v>
      </c>
      <c r="H147" s="77" t="s">
        <v>312</v>
      </c>
      <c r="I147" s="78">
        <f t="shared" si="7"/>
        <v>3.0612399999999997</v>
      </c>
      <c r="J147" s="77">
        <v>5</v>
      </c>
      <c r="K147" s="90" t="str">
        <f t="shared" si="6"/>
        <v>5ml</v>
      </c>
    </row>
    <row r="148" spans="2:11" x14ac:dyDescent="0.25">
      <c r="B148" s="61">
        <v>182</v>
      </c>
      <c r="C148" s="65" t="s">
        <v>444</v>
      </c>
      <c r="D148" s="77">
        <v>100</v>
      </c>
      <c r="E148" s="77" t="s">
        <v>250</v>
      </c>
      <c r="F148" s="77">
        <v>23</v>
      </c>
      <c r="G148" s="78">
        <v>0.35</v>
      </c>
      <c r="H148" s="77" t="s">
        <v>250</v>
      </c>
      <c r="I148" s="78">
        <f t="shared" si="7"/>
        <v>0.40599999999999997</v>
      </c>
      <c r="J148" s="77">
        <v>1</v>
      </c>
      <c r="K148" s="90" t="str">
        <f t="shared" si="6"/>
        <v>1tab</v>
      </c>
    </row>
    <row r="149" spans="2:11" x14ac:dyDescent="0.25">
      <c r="B149" s="61">
        <v>137</v>
      </c>
      <c r="C149" s="65" t="s">
        <v>445</v>
      </c>
      <c r="D149" s="77"/>
      <c r="E149" s="77"/>
      <c r="F149" s="77"/>
      <c r="G149" s="78"/>
      <c r="H149" s="77"/>
      <c r="I149" s="78">
        <f t="shared" si="7"/>
        <v>0</v>
      </c>
      <c r="J149" s="77"/>
      <c r="K149" s="90" t="str">
        <f t="shared" si="6"/>
        <v/>
      </c>
    </row>
    <row r="150" spans="2:11" x14ac:dyDescent="0.25">
      <c r="B150" s="61">
        <v>175</v>
      </c>
      <c r="C150" s="65" t="s">
        <v>446</v>
      </c>
      <c r="D150" s="77">
        <v>10</v>
      </c>
      <c r="E150" s="77" t="s">
        <v>312</v>
      </c>
      <c r="F150" s="77">
        <v>7.5</v>
      </c>
      <c r="G150" s="78">
        <f>F150/D150</f>
        <v>0.75</v>
      </c>
      <c r="H150" s="77" t="s">
        <v>312</v>
      </c>
      <c r="I150" s="78">
        <f t="shared" si="7"/>
        <v>0.87</v>
      </c>
      <c r="J150" s="77">
        <v>1</v>
      </c>
      <c r="K150" s="90" t="str">
        <f t="shared" si="6"/>
        <v>1ml</v>
      </c>
    </row>
    <row r="151" spans="2:11" x14ac:dyDescent="0.25">
      <c r="B151" s="61">
        <v>174</v>
      </c>
      <c r="C151" s="65" t="s">
        <v>14</v>
      </c>
      <c r="D151" s="77">
        <v>20</v>
      </c>
      <c r="E151" s="77" t="s">
        <v>312</v>
      </c>
      <c r="F151" s="77">
        <v>12</v>
      </c>
      <c r="G151" s="78">
        <v>12</v>
      </c>
      <c r="H151" s="77" t="s">
        <v>312</v>
      </c>
      <c r="I151" s="78">
        <f t="shared" si="7"/>
        <v>13.92</v>
      </c>
      <c r="J151" s="77">
        <v>20</v>
      </c>
      <c r="K151" s="90" t="str">
        <f t="shared" si="6"/>
        <v>20ml</v>
      </c>
    </row>
    <row r="152" spans="2:11" x14ac:dyDescent="0.25">
      <c r="B152" s="61">
        <v>98</v>
      </c>
      <c r="C152" s="65" t="s">
        <v>447</v>
      </c>
      <c r="D152" s="77">
        <v>1000</v>
      </c>
      <c r="E152" s="77" t="s">
        <v>312</v>
      </c>
      <c r="F152" s="77">
        <v>36</v>
      </c>
      <c r="G152" s="78">
        <v>36</v>
      </c>
      <c r="H152" s="77" t="s">
        <v>312</v>
      </c>
      <c r="I152" s="78">
        <f t="shared" si="7"/>
        <v>41.76</v>
      </c>
      <c r="J152" s="77">
        <v>1000</v>
      </c>
      <c r="K152" s="90" t="str">
        <f t="shared" si="6"/>
        <v>1000ml</v>
      </c>
    </row>
    <row r="153" spans="2:11" x14ac:dyDescent="0.25">
      <c r="B153" s="61">
        <v>74</v>
      </c>
      <c r="C153" s="65" t="s">
        <v>448</v>
      </c>
      <c r="D153" s="77"/>
      <c r="E153" s="77"/>
      <c r="F153" s="77"/>
      <c r="G153" s="78">
        <v>3.04</v>
      </c>
      <c r="H153" s="77" t="s">
        <v>250</v>
      </c>
      <c r="I153" s="78">
        <f t="shared" si="7"/>
        <v>3.5264000000000002</v>
      </c>
      <c r="J153" s="77">
        <v>1</v>
      </c>
      <c r="K153" s="90" t="str">
        <f t="shared" si="6"/>
        <v>1tab</v>
      </c>
    </row>
    <row r="154" spans="2:11" x14ac:dyDescent="0.25">
      <c r="B154" s="61">
        <v>65</v>
      </c>
      <c r="C154" s="65" t="s">
        <v>449</v>
      </c>
      <c r="D154" s="77"/>
      <c r="E154" s="77" t="s">
        <v>252</v>
      </c>
      <c r="F154" s="77"/>
      <c r="G154" s="78">
        <v>2.19</v>
      </c>
      <c r="H154" s="77" t="s">
        <v>325</v>
      </c>
      <c r="I154" s="78">
        <f t="shared" si="7"/>
        <v>2.5404</v>
      </c>
      <c r="J154" s="77">
        <v>1</v>
      </c>
      <c r="K154" s="90" t="str">
        <f t="shared" si="6"/>
        <v>1inj</v>
      </c>
    </row>
    <row r="155" spans="2:11" ht="30" x14ac:dyDescent="0.25">
      <c r="B155" s="61">
        <v>64</v>
      </c>
      <c r="C155" s="92" t="s">
        <v>450</v>
      </c>
      <c r="D155" s="77">
        <v>15</v>
      </c>
      <c r="E155" s="77" t="s">
        <v>312</v>
      </c>
      <c r="F155" s="77">
        <v>15</v>
      </c>
      <c r="G155" s="78">
        <f>F155/D155*5</f>
        <v>5</v>
      </c>
      <c r="H155" s="77" t="s">
        <v>312</v>
      </c>
      <c r="I155" s="78">
        <f t="shared" si="7"/>
        <v>5.8</v>
      </c>
      <c r="J155" s="77">
        <v>5</v>
      </c>
      <c r="K155" s="90" t="str">
        <f t="shared" si="6"/>
        <v>5ml</v>
      </c>
    </row>
    <row r="156" spans="2:11" ht="30" x14ac:dyDescent="0.25">
      <c r="B156" s="61">
        <v>16</v>
      </c>
      <c r="C156" s="92" t="s">
        <v>451</v>
      </c>
      <c r="D156" s="77"/>
      <c r="E156" s="77" t="s">
        <v>250</v>
      </c>
      <c r="F156" s="77"/>
      <c r="G156" s="78">
        <v>2.25</v>
      </c>
      <c r="H156" s="77" t="s">
        <v>250</v>
      </c>
      <c r="I156" s="78">
        <f t="shared" si="7"/>
        <v>2.61</v>
      </c>
      <c r="J156" s="77">
        <v>1</v>
      </c>
      <c r="K156" s="90" t="str">
        <f t="shared" si="6"/>
        <v>1tab</v>
      </c>
    </row>
    <row r="157" spans="2:11" ht="30" x14ac:dyDescent="0.25">
      <c r="B157" s="61">
        <v>15</v>
      </c>
      <c r="C157" s="92" t="s">
        <v>145</v>
      </c>
      <c r="D157" s="77"/>
      <c r="E157" s="77"/>
      <c r="F157" s="77"/>
      <c r="G157" s="78">
        <v>1.2</v>
      </c>
      <c r="H157" s="77" t="s">
        <v>312</v>
      </c>
      <c r="I157" s="78">
        <f t="shared" si="7"/>
        <v>1.3919999999999999</v>
      </c>
      <c r="J157" s="77">
        <v>5</v>
      </c>
      <c r="K157" s="90" t="str">
        <f t="shared" si="6"/>
        <v>5ml</v>
      </c>
    </row>
    <row r="158" spans="2:11" ht="30" x14ac:dyDescent="0.25">
      <c r="B158" s="61">
        <v>131</v>
      </c>
      <c r="C158" s="92" t="s">
        <v>452</v>
      </c>
      <c r="D158" s="77">
        <v>10</v>
      </c>
      <c r="E158" s="91" t="s">
        <v>373</v>
      </c>
      <c r="F158" s="77">
        <f>D158*1</f>
        <v>10</v>
      </c>
      <c r="G158" s="78">
        <v>1</v>
      </c>
      <c r="H158" s="77" t="s">
        <v>373</v>
      </c>
      <c r="I158" s="78">
        <f t="shared" si="7"/>
        <v>1.1599999999999999</v>
      </c>
      <c r="J158" s="77">
        <v>1</v>
      </c>
      <c r="K158" s="90" t="str">
        <f t="shared" si="6"/>
        <v>1cap</v>
      </c>
    </row>
    <row r="159" spans="2:11" x14ac:dyDescent="0.25">
      <c r="B159" s="61">
        <v>197</v>
      </c>
      <c r="C159" s="65" t="s">
        <v>453</v>
      </c>
      <c r="D159" s="77">
        <v>10</v>
      </c>
      <c r="E159" s="77" t="s">
        <v>312</v>
      </c>
      <c r="F159" s="77">
        <v>17</v>
      </c>
      <c r="G159" s="78">
        <v>17</v>
      </c>
      <c r="H159" s="77" t="s">
        <v>312</v>
      </c>
      <c r="I159" s="78">
        <f t="shared" si="7"/>
        <v>19.72</v>
      </c>
      <c r="J159" s="77">
        <v>10</v>
      </c>
      <c r="K159" s="90" t="str">
        <f t="shared" si="6"/>
        <v>10ml</v>
      </c>
    </row>
    <row r="160" spans="2:11" x14ac:dyDescent="0.25">
      <c r="B160" s="61">
        <v>133</v>
      </c>
      <c r="C160" s="65" t="s">
        <v>18</v>
      </c>
      <c r="D160" s="77"/>
      <c r="E160" s="77"/>
      <c r="F160" s="77"/>
      <c r="G160" s="78">
        <v>9</v>
      </c>
      <c r="H160" s="77" t="s">
        <v>305</v>
      </c>
      <c r="I160" s="78">
        <f t="shared" si="7"/>
        <v>10.44</v>
      </c>
      <c r="J160" s="77">
        <v>1</v>
      </c>
      <c r="K160" s="90" t="str">
        <f t="shared" si="6"/>
        <v>1dose</v>
      </c>
    </row>
    <row r="161" spans="2:11" x14ac:dyDescent="0.25">
      <c r="B161" s="61">
        <v>183</v>
      </c>
      <c r="C161" s="65" t="s">
        <v>454</v>
      </c>
      <c r="D161" s="77">
        <v>5</v>
      </c>
      <c r="E161" s="91" t="s">
        <v>533</v>
      </c>
      <c r="F161" s="77">
        <v>22</v>
      </c>
      <c r="G161" s="78">
        <f>F161/10</f>
        <v>2.2000000000000002</v>
      </c>
      <c r="H161" s="77" t="s">
        <v>455</v>
      </c>
      <c r="I161" s="78">
        <f t="shared" si="7"/>
        <v>2.552</v>
      </c>
      <c r="J161" s="77">
        <v>1</v>
      </c>
      <c r="K161" s="90" t="str">
        <f t="shared" si="6"/>
        <v>1mg</v>
      </c>
    </row>
    <row r="162" spans="2:11" x14ac:dyDescent="0.25">
      <c r="B162" s="61">
        <v>18</v>
      </c>
      <c r="C162" s="65" t="s">
        <v>456</v>
      </c>
      <c r="D162" s="77"/>
      <c r="E162" s="77"/>
      <c r="F162" s="77"/>
      <c r="G162" s="78"/>
      <c r="H162" s="77"/>
      <c r="I162" s="78">
        <f t="shared" si="7"/>
        <v>0</v>
      </c>
      <c r="J162" s="77"/>
      <c r="K162" s="90" t="str">
        <f t="shared" si="6"/>
        <v/>
      </c>
    </row>
    <row r="163" spans="2:11" x14ac:dyDescent="0.25">
      <c r="B163" s="61">
        <v>145</v>
      </c>
      <c r="C163" s="65" t="s">
        <v>457</v>
      </c>
      <c r="D163" s="77"/>
      <c r="E163" s="77"/>
      <c r="F163" s="77"/>
      <c r="G163" s="78">
        <v>1</v>
      </c>
      <c r="H163" s="77" t="s">
        <v>373</v>
      </c>
      <c r="I163" s="78">
        <f t="shared" si="7"/>
        <v>1.1599999999999999</v>
      </c>
      <c r="J163" s="77">
        <v>1</v>
      </c>
      <c r="K163" s="90" t="str">
        <f t="shared" si="6"/>
        <v>1cap</v>
      </c>
    </row>
    <row r="164" spans="2:11" x14ac:dyDescent="0.25">
      <c r="B164" s="61">
        <v>168</v>
      </c>
      <c r="C164" s="65" t="s">
        <v>458</v>
      </c>
      <c r="D164" s="77"/>
      <c r="E164" s="77"/>
      <c r="F164" s="77"/>
      <c r="G164" s="78">
        <v>1.85</v>
      </c>
      <c r="H164" s="77" t="s">
        <v>250</v>
      </c>
      <c r="I164" s="78">
        <f t="shared" si="7"/>
        <v>2.1459999999999999</v>
      </c>
      <c r="J164" s="77">
        <v>1</v>
      </c>
      <c r="K164" s="90" t="str">
        <f t="shared" si="6"/>
        <v>1tab</v>
      </c>
    </row>
    <row r="165" spans="2:11" x14ac:dyDescent="0.25">
      <c r="B165" s="61">
        <v>30</v>
      </c>
      <c r="C165" s="65" t="s">
        <v>13</v>
      </c>
      <c r="D165" s="77"/>
      <c r="E165" s="77"/>
      <c r="F165" s="77"/>
      <c r="G165" s="78">
        <v>0.5</v>
      </c>
      <c r="H165" s="77" t="s">
        <v>312</v>
      </c>
      <c r="I165" s="78">
        <f t="shared" si="7"/>
        <v>0.57999999999999996</v>
      </c>
      <c r="J165" s="77">
        <v>1</v>
      </c>
      <c r="K165" s="90" t="str">
        <f t="shared" si="6"/>
        <v>1ml</v>
      </c>
    </row>
    <row r="166" spans="2:11" x14ac:dyDescent="0.25">
      <c r="B166" s="61">
        <v>9</v>
      </c>
      <c r="C166" s="65" t="s">
        <v>459</v>
      </c>
      <c r="D166" s="77"/>
      <c r="E166" s="91" t="s">
        <v>250</v>
      </c>
      <c r="F166" s="77"/>
      <c r="G166" s="78">
        <v>5</v>
      </c>
      <c r="H166" s="77" t="s">
        <v>250</v>
      </c>
      <c r="I166" s="78">
        <f t="shared" si="7"/>
        <v>5.8</v>
      </c>
      <c r="J166" s="77">
        <v>1</v>
      </c>
      <c r="K166" s="90" t="str">
        <f t="shared" si="6"/>
        <v>1tab</v>
      </c>
    </row>
    <row r="167" spans="2:11" x14ac:dyDescent="0.25">
      <c r="B167" s="61">
        <v>148</v>
      </c>
      <c r="C167" s="65" t="s">
        <v>460</v>
      </c>
      <c r="D167" s="77"/>
      <c r="E167" s="77"/>
      <c r="F167" s="77"/>
      <c r="G167" s="78"/>
      <c r="H167" s="77"/>
      <c r="I167" s="78">
        <f t="shared" si="7"/>
        <v>0</v>
      </c>
      <c r="J167" s="77"/>
      <c r="K167" s="90" t="str">
        <f t="shared" si="6"/>
        <v/>
      </c>
    </row>
    <row r="168" spans="2:11" ht="30" x14ac:dyDescent="0.25">
      <c r="B168" s="61">
        <v>158</v>
      </c>
      <c r="C168" s="92" t="s">
        <v>461</v>
      </c>
      <c r="D168" s="77">
        <v>100</v>
      </c>
      <c r="E168" s="77" t="s">
        <v>312</v>
      </c>
      <c r="F168" s="77">
        <f>D168*G168/5</f>
        <v>41.86</v>
      </c>
      <c r="G168" s="78">
        <f>0.0046*91*5</f>
        <v>2.093</v>
      </c>
      <c r="H168" s="77" t="s">
        <v>312</v>
      </c>
      <c r="I168" s="78">
        <f t="shared" si="7"/>
        <v>2.42788</v>
      </c>
      <c r="J168" s="77">
        <v>5</v>
      </c>
      <c r="K168" s="90" t="str">
        <f t="shared" si="6"/>
        <v>5ml</v>
      </c>
    </row>
    <row r="169" spans="2:11" x14ac:dyDescent="0.25">
      <c r="B169" s="61">
        <v>56</v>
      </c>
      <c r="C169" s="65" t="s">
        <v>462</v>
      </c>
      <c r="D169" s="77"/>
      <c r="E169" s="77"/>
      <c r="F169" s="77"/>
      <c r="G169" s="78">
        <v>1.53</v>
      </c>
      <c r="H169" s="77" t="s">
        <v>250</v>
      </c>
      <c r="I169" s="78">
        <f t="shared" si="7"/>
        <v>1.7747999999999999</v>
      </c>
      <c r="J169" s="77">
        <v>1</v>
      </c>
      <c r="K169" s="90" t="str">
        <f t="shared" si="6"/>
        <v>1tab</v>
      </c>
    </row>
    <row r="170" spans="2:11" x14ac:dyDescent="0.25">
      <c r="C170" s="81" t="s">
        <v>648</v>
      </c>
      <c r="D170" s="77"/>
      <c r="E170" s="77"/>
      <c r="F170" s="77"/>
      <c r="G170" s="78">
        <v>2</v>
      </c>
      <c r="H170" s="77" t="s">
        <v>250</v>
      </c>
      <c r="I170" s="78">
        <f t="shared" ref="I170" si="8">((SUM($G$2:$G$4)*G170)+G170)</f>
        <v>2.3199999999999998</v>
      </c>
      <c r="J170" s="77"/>
      <c r="K170" s="93" t="s">
        <v>532</v>
      </c>
    </row>
    <row r="171" spans="2:11" x14ac:dyDescent="0.25">
      <c r="B171" s="61">
        <v>55</v>
      </c>
      <c r="C171" s="65" t="s">
        <v>463</v>
      </c>
      <c r="D171" s="77">
        <v>120</v>
      </c>
      <c r="E171" s="77" t="s">
        <v>312</v>
      </c>
      <c r="F171" s="77">
        <f>1.95*91</f>
        <v>177.45</v>
      </c>
      <c r="G171" s="78">
        <f>F171/D171*5</f>
        <v>7.3937499999999998</v>
      </c>
      <c r="H171" s="77" t="s">
        <v>312</v>
      </c>
      <c r="I171" s="78">
        <f t="shared" si="7"/>
        <v>8.5767500000000005</v>
      </c>
      <c r="J171" s="77">
        <v>5</v>
      </c>
      <c r="K171" s="90" t="str">
        <f t="shared" si="6"/>
        <v>5ml</v>
      </c>
    </row>
    <row r="172" spans="2:11" x14ac:dyDescent="0.25">
      <c r="C172" s="65" t="s">
        <v>464</v>
      </c>
      <c r="D172" s="77"/>
      <c r="E172" s="77"/>
      <c r="F172" s="77"/>
      <c r="G172" s="78">
        <f>0.0235*91</f>
        <v>2.1385000000000001</v>
      </c>
      <c r="H172" s="77" t="s">
        <v>250</v>
      </c>
      <c r="I172" s="78">
        <f t="shared" si="7"/>
        <v>2.4806600000000003</v>
      </c>
      <c r="J172" s="77">
        <v>1</v>
      </c>
      <c r="K172" s="90" t="str">
        <f t="shared" si="6"/>
        <v>1tab</v>
      </c>
    </row>
    <row r="173" spans="2:11" x14ac:dyDescent="0.25">
      <c r="C173" s="81" t="s">
        <v>524</v>
      </c>
      <c r="D173" s="77"/>
      <c r="E173" s="77"/>
      <c r="F173" s="77"/>
      <c r="G173" s="78">
        <v>0.5</v>
      </c>
      <c r="H173" s="77"/>
      <c r="I173" s="78">
        <f t="shared" si="7"/>
        <v>0.57999999999999996</v>
      </c>
      <c r="J173" s="77"/>
      <c r="K173" s="93" t="s">
        <v>526</v>
      </c>
    </row>
    <row r="174" spans="2:11" x14ac:dyDescent="0.25">
      <c r="C174" s="81" t="s">
        <v>525</v>
      </c>
      <c r="D174" s="77"/>
      <c r="E174" s="77"/>
      <c r="F174" s="77"/>
      <c r="G174" s="78">
        <v>10</v>
      </c>
      <c r="H174" s="77"/>
      <c r="I174" s="78">
        <f t="shared" si="7"/>
        <v>11.6</v>
      </c>
      <c r="J174" s="77"/>
      <c r="K174" s="93" t="s">
        <v>526</v>
      </c>
    </row>
    <row r="175" spans="2:11" x14ac:dyDescent="0.25">
      <c r="C175" s="81" t="s">
        <v>670</v>
      </c>
      <c r="D175" s="77"/>
      <c r="E175" s="77"/>
      <c r="F175" s="77"/>
      <c r="G175" s="78">
        <v>2.8</v>
      </c>
      <c r="H175" s="77"/>
      <c r="I175" s="78">
        <f t="shared" si="7"/>
        <v>3.2479999999999998</v>
      </c>
      <c r="J175" s="77"/>
      <c r="K175" s="93" t="s">
        <v>671</v>
      </c>
    </row>
    <row r="176" spans="2:11" x14ac:dyDescent="0.25">
      <c r="C176" s="81" t="s">
        <v>531</v>
      </c>
      <c r="D176" s="77"/>
      <c r="E176" s="77"/>
      <c r="F176" s="77"/>
      <c r="G176" s="78">
        <v>18</v>
      </c>
      <c r="H176" s="77"/>
      <c r="I176" s="78">
        <f t="shared" si="7"/>
        <v>20.88</v>
      </c>
      <c r="J176" s="77"/>
      <c r="K176" s="93" t="s">
        <v>532</v>
      </c>
    </row>
    <row r="177" spans="3:11" x14ac:dyDescent="0.25">
      <c r="C177" s="147"/>
      <c r="D177" s="147"/>
      <c r="E177" s="147"/>
      <c r="F177" s="147"/>
      <c r="G177" s="147"/>
      <c r="H177" s="147"/>
      <c r="I177" s="147"/>
      <c r="J177" s="147"/>
      <c r="K177" s="147"/>
    </row>
    <row r="181" spans="3:11" x14ac:dyDescent="0.25">
      <c r="C181" s="94" t="s">
        <v>10</v>
      </c>
    </row>
  </sheetData>
  <sheetProtection sheet="1" objects="1" scenarios="1"/>
  <mergeCells count="9">
    <mergeCell ref="C6:K6"/>
    <mergeCell ref="F7:I7"/>
    <mergeCell ref="D4:F4"/>
    <mergeCell ref="D2:F2"/>
    <mergeCell ref="C2:C4"/>
    <mergeCell ref="D3:F3"/>
    <mergeCell ref="D7:E7"/>
    <mergeCell ref="C7:C8"/>
    <mergeCell ref="K7:K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B2:G65"/>
  <sheetViews>
    <sheetView showGridLines="0" topLeftCell="A2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0" style="61" hidden="1" customWidth="1"/>
    <col min="3" max="3" width="66.85546875" style="61" customWidth="1"/>
    <col min="4" max="4" width="7.7109375" style="61" customWidth="1"/>
    <col min="5" max="5" width="8.5703125" style="61" bestFit="1" customWidth="1"/>
    <col min="6" max="6" width="8.85546875" style="61" customWidth="1"/>
    <col min="7" max="7" width="8.5703125" style="61" customWidth="1"/>
    <col min="8" max="16384" width="9.140625" style="61"/>
  </cols>
  <sheetData>
    <row r="2" spans="2:7" x14ac:dyDescent="0.25">
      <c r="C2" s="223" t="s">
        <v>511</v>
      </c>
      <c r="D2" s="228" t="s">
        <v>512</v>
      </c>
      <c r="E2" s="229"/>
      <c r="F2" s="230"/>
      <c r="G2" s="59">
        <v>0.05</v>
      </c>
    </row>
    <row r="3" spans="2:7" x14ac:dyDescent="0.25">
      <c r="C3" s="225"/>
      <c r="D3" s="228" t="s">
        <v>513</v>
      </c>
      <c r="E3" s="229"/>
      <c r="F3" s="230"/>
      <c r="G3" s="59">
        <v>0.05</v>
      </c>
    </row>
    <row r="5" spans="2:7" ht="15.75" x14ac:dyDescent="0.25">
      <c r="C5" s="191" t="s">
        <v>514</v>
      </c>
      <c r="D5" s="191"/>
      <c r="E5" s="191"/>
      <c r="F5" s="191"/>
      <c r="G5" s="191"/>
    </row>
    <row r="6" spans="2:7" x14ac:dyDescent="0.25">
      <c r="C6" s="226" t="s">
        <v>0</v>
      </c>
      <c r="D6" s="208" t="s">
        <v>470</v>
      </c>
      <c r="E6" s="209"/>
      <c r="F6" s="208" t="s">
        <v>471</v>
      </c>
      <c r="G6" s="209"/>
    </row>
    <row r="7" spans="2:7" ht="30" x14ac:dyDescent="0.25">
      <c r="C7" s="227"/>
      <c r="D7" s="147" t="s">
        <v>472</v>
      </c>
      <c r="E7" s="147" t="s">
        <v>473</v>
      </c>
      <c r="F7" s="165" t="s">
        <v>473</v>
      </c>
      <c r="G7" s="165" t="s">
        <v>515</v>
      </c>
    </row>
    <row r="8" spans="2:7" x14ac:dyDescent="0.25">
      <c r="B8" s="61">
        <v>1</v>
      </c>
      <c r="C8" s="65" t="s">
        <v>149</v>
      </c>
      <c r="D8" s="65">
        <v>209</v>
      </c>
      <c r="E8" s="65" t="s">
        <v>423</v>
      </c>
      <c r="F8" s="65">
        <v>3</v>
      </c>
      <c r="G8" s="65">
        <f t="shared" ref="G8:G39" si="0">(SUM($G$2:$G$3)*F8)+F8</f>
        <v>3.3</v>
      </c>
    </row>
    <row r="9" spans="2:7" x14ac:dyDescent="0.25">
      <c r="B9" s="61">
        <v>15</v>
      </c>
      <c r="C9" s="65" t="s">
        <v>474</v>
      </c>
      <c r="D9" s="65">
        <v>50</v>
      </c>
      <c r="E9" s="65" t="s">
        <v>423</v>
      </c>
      <c r="F9" s="65">
        <v>5</v>
      </c>
      <c r="G9" s="65">
        <f t="shared" si="0"/>
        <v>5.5</v>
      </c>
    </row>
    <row r="10" spans="2:7" x14ac:dyDescent="0.25">
      <c r="B10" s="61">
        <v>14</v>
      </c>
      <c r="C10" s="65" t="s">
        <v>475</v>
      </c>
      <c r="D10" s="65">
        <v>17</v>
      </c>
      <c r="E10" s="65" t="s">
        <v>476</v>
      </c>
      <c r="F10" s="65">
        <v>17</v>
      </c>
      <c r="G10" s="65">
        <f t="shared" si="0"/>
        <v>18.7</v>
      </c>
    </row>
    <row r="11" spans="2:7" x14ac:dyDescent="0.25">
      <c r="B11" s="61">
        <v>31</v>
      </c>
      <c r="C11" s="81" t="s">
        <v>516</v>
      </c>
      <c r="D11" s="65">
        <v>530</v>
      </c>
      <c r="E11" s="65" t="s">
        <v>498</v>
      </c>
      <c r="F11" s="95">
        <f>D11/12</f>
        <v>44.166666666666664</v>
      </c>
      <c r="G11" s="65">
        <f t="shared" si="0"/>
        <v>48.583333333333329</v>
      </c>
    </row>
    <row r="12" spans="2:7" x14ac:dyDescent="0.25">
      <c r="B12" s="61">
        <v>5</v>
      </c>
      <c r="C12" s="65" t="s">
        <v>150</v>
      </c>
      <c r="D12" s="65">
        <v>35</v>
      </c>
      <c r="E12" s="65" t="s">
        <v>477</v>
      </c>
      <c r="F12" s="65">
        <v>35</v>
      </c>
      <c r="G12" s="65">
        <f t="shared" si="0"/>
        <v>38.5</v>
      </c>
    </row>
    <row r="13" spans="2:7" x14ac:dyDescent="0.25">
      <c r="B13" s="61">
        <v>18</v>
      </c>
      <c r="C13" s="65" t="s">
        <v>152</v>
      </c>
      <c r="D13" s="65"/>
      <c r="E13" s="65"/>
      <c r="F13" s="65"/>
      <c r="G13" s="65">
        <f t="shared" si="0"/>
        <v>0</v>
      </c>
    </row>
    <row r="14" spans="2:7" x14ac:dyDescent="0.25">
      <c r="B14" s="61">
        <v>32</v>
      </c>
      <c r="C14" s="65" t="s">
        <v>153</v>
      </c>
      <c r="D14" s="65"/>
      <c r="E14" s="65"/>
      <c r="F14" s="65"/>
      <c r="G14" s="65">
        <f t="shared" si="0"/>
        <v>0</v>
      </c>
    </row>
    <row r="15" spans="2:7" x14ac:dyDescent="0.25">
      <c r="B15" s="61">
        <v>25</v>
      </c>
      <c r="C15" s="65" t="s">
        <v>478</v>
      </c>
      <c r="D15" s="65"/>
      <c r="E15" s="65"/>
      <c r="F15" s="65"/>
      <c r="G15" s="65">
        <f t="shared" si="0"/>
        <v>0</v>
      </c>
    </row>
    <row r="16" spans="2:7" x14ac:dyDescent="0.25">
      <c r="B16" s="61">
        <v>21</v>
      </c>
      <c r="C16" s="65" t="s">
        <v>479</v>
      </c>
      <c r="D16" s="65">
        <v>55</v>
      </c>
      <c r="E16" s="65" t="s">
        <v>480</v>
      </c>
      <c r="F16" s="65">
        <v>55</v>
      </c>
      <c r="G16" s="65">
        <f t="shared" si="0"/>
        <v>60.5</v>
      </c>
    </row>
    <row r="17" spans="2:7" x14ac:dyDescent="0.25">
      <c r="B17" s="61">
        <v>22</v>
      </c>
      <c r="C17" s="65" t="s">
        <v>481</v>
      </c>
      <c r="D17" s="65">
        <v>11</v>
      </c>
      <c r="E17" s="65" t="s">
        <v>480</v>
      </c>
      <c r="F17" s="65">
        <v>11</v>
      </c>
      <c r="G17" s="65">
        <f t="shared" si="0"/>
        <v>12.1</v>
      </c>
    </row>
    <row r="18" spans="2:7" x14ac:dyDescent="0.25">
      <c r="B18" s="61">
        <v>23</v>
      </c>
      <c r="C18" s="65" t="s">
        <v>482</v>
      </c>
      <c r="D18" s="65">
        <v>15</v>
      </c>
      <c r="E18" s="65" t="s">
        <v>480</v>
      </c>
      <c r="F18" s="65">
        <v>15</v>
      </c>
      <c r="G18" s="65">
        <f t="shared" si="0"/>
        <v>16.5</v>
      </c>
    </row>
    <row r="19" spans="2:7" x14ac:dyDescent="0.25">
      <c r="B19" s="61">
        <v>24</v>
      </c>
      <c r="C19" s="65" t="s">
        <v>483</v>
      </c>
      <c r="D19" s="65"/>
      <c r="E19" s="65"/>
      <c r="F19" s="65"/>
      <c r="G19" s="65">
        <f t="shared" si="0"/>
        <v>0</v>
      </c>
    </row>
    <row r="20" spans="2:7" x14ac:dyDescent="0.25">
      <c r="B20" s="61">
        <v>10</v>
      </c>
      <c r="C20" s="65" t="s">
        <v>484</v>
      </c>
      <c r="D20" s="65"/>
      <c r="E20" s="65"/>
      <c r="F20" s="65"/>
      <c r="G20" s="65">
        <f t="shared" si="0"/>
        <v>0</v>
      </c>
    </row>
    <row r="21" spans="2:7" x14ac:dyDescent="0.25">
      <c r="B21" s="61">
        <v>9</v>
      </c>
      <c r="C21" s="65" t="s">
        <v>485</v>
      </c>
      <c r="D21" s="65">
        <f>F21*20</f>
        <v>60</v>
      </c>
      <c r="E21" s="65" t="s">
        <v>423</v>
      </c>
      <c r="F21" s="65">
        <v>3</v>
      </c>
      <c r="G21" s="65">
        <f t="shared" si="0"/>
        <v>3.3</v>
      </c>
    </row>
    <row r="22" spans="2:7" x14ac:dyDescent="0.25">
      <c r="B22" s="61">
        <v>11</v>
      </c>
      <c r="C22" s="65" t="s">
        <v>151</v>
      </c>
      <c r="D22" s="65">
        <v>14</v>
      </c>
      <c r="E22" s="65" t="s">
        <v>486</v>
      </c>
      <c r="F22" s="65">
        <v>14</v>
      </c>
      <c r="G22" s="65">
        <f t="shared" si="0"/>
        <v>15.4</v>
      </c>
    </row>
    <row r="23" spans="2:7" x14ac:dyDescent="0.25">
      <c r="B23" s="61">
        <v>63</v>
      </c>
      <c r="C23" s="65" t="s">
        <v>487</v>
      </c>
      <c r="D23" s="65">
        <v>402</v>
      </c>
      <c r="E23" s="65" t="s">
        <v>488</v>
      </c>
      <c r="F23" s="65">
        <f>D23/100</f>
        <v>4.0199999999999996</v>
      </c>
      <c r="G23" s="65">
        <f t="shared" si="0"/>
        <v>4.4219999999999997</v>
      </c>
    </row>
    <row r="24" spans="2:7" x14ac:dyDescent="0.25">
      <c r="B24" s="61">
        <v>46</v>
      </c>
      <c r="C24" s="65" t="s">
        <v>156</v>
      </c>
      <c r="D24" s="65">
        <v>38.5</v>
      </c>
      <c r="E24" s="65" t="s">
        <v>489</v>
      </c>
      <c r="F24" s="65">
        <v>38.5</v>
      </c>
      <c r="G24" s="65">
        <f t="shared" si="0"/>
        <v>42.35</v>
      </c>
    </row>
    <row r="25" spans="2:7" x14ac:dyDescent="0.25">
      <c r="B25" s="61">
        <v>51</v>
      </c>
      <c r="C25" s="65" t="s">
        <v>157</v>
      </c>
      <c r="D25" s="65">
        <v>39.75</v>
      </c>
      <c r="E25" s="65" t="s">
        <v>489</v>
      </c>
      <c r="F25" s="65">
        <v>39.75</v>
      </c>
      <c r="G25" s="65">
        <f t="shared" si="0"/>
        <v>43.725000000000001</v>
      </c>
    </row>
    <row r="26" spans="2:7" x14ac:dyDescent="0.25">
      <c r="B26" s="61">
        <v>56</v>
      </c>
      <c r="C26" s="65" t="s">
        <v>158</v>
      </c>
      <c r="D26" s="65">
        <v>55</v>
      </c>
      <c r="E26" s="65" t="s">
        <v>489</v>
      </c>
      <c r="F26" s="65">
        <v>55</v>
      </c>
      <c r="G26" s="65">
        <f t="shared" si="0"/>
        <v>60.5</v>
      </c>
    </row>
    <row r="27" spans="2:7" x14ac:dyDescent="0.25">
      <c r="B27" s="61">
        <v>41</v>
      </c>
      <c r="C27" s="65" t="s">
        <v>490</v>
      </c>
      <c r="D27" s="65">
        <v>106</v>
      </c>
      <c r="E27" s="65" t="s">
        <v>488</v>
      </c>
      <c r="F27" s="65">
        <f t="shared" ref="F27:F32" si="1">D27/100</f>
        <v>1.06</v>
      </c>
      <c r="G27" s="65">
        <f t="shared" si="0"/>
        <v>1.1660000000000001</v>
      </c>
    </row>
    <row r="28" spans="2:7" x14ac:dyDescent="0.25">
      <c r="B28" s="61">
        <v>42</v>
      </c>
      <c r="C28" s="65" t="s">
        <v>491</v>
      </c>
      <c r="D28" s="65">
        <v>100</v>
      </c>
      <c r="E28" s="65" t="s">
        <v>488</v>
      </c>
      <c r="F28" s="65">
        <f t="shared" si="1"/>
        <v>1</v>
      </c>
      <c r="G28" s="65">
        <f t="shared" si="0"/>
        <v>1.1000000000000001</v>
      </c>
    </row>
    <row r="29" spans="2:7" x14ac:dyDescent="0.25">
      <c r="B29" s="61">
        <v>43</v>
      </c>
      <c r="C29" s="65" t="s">
        <v>492</v>
      </c>
      <c r="D29" s="65">
        <v>131</v>
      </c>
      <c r="E29" s="65" t="s">
        <v>488</v>
      </c>
      <c r="F29" s="65">
        <f t="shared" si="1"/>
        <v>1.31</v>
      </c>
      <c r="G29" s="65">
        <f t="shared" si="0"/>
        <v>1.4410000000000001</v>
      </c>
    </row>
    <row r="30" spans="2:7" x14ac:dyDescent="0.25">
      <c r="B30" s="61">
        <v>44</v>
      </c>
      <c r="C30" s="65" t="s">
        <v>493</v>
      </c>
      <c r="D30" s="65">
        <v>101</v>
      </c>
      <c r="E30" s="65" t="s">
        <v>488</v>
      </c>
      <c r="F30" s="65">
        <f t="shared" si="1"/>
        <v>1.01</v>
      </c>
      <c r="G30" s="65">
        <f t="shared" si="0"/>
        <v>1.111</v>
      </c>
    </row>
    <row r="31" spans="2:7" x14ac:dyDescent="0.25">
      <c r="B31" s="61">
        <v>45</v>
      </c>
      <c r="C31" s="65" t="s">
        <v>494</v>
      </c>
      <c r="D31" s="65">
        <v>97</v>
      </c>
      <c r="E31" s="65" t="s">
        <v>488</v>
      </c>
      <c r="F31" s="65">
        <f t="shared" si="1"/>
        <v>0.97</v>
      </c>
      <c r="G31" s="65">
        <f t="shared" si="0"/>
        <v>1.0669999999999999</v>
      </c>
    </row>
    <row r="32" spans="2:7" x14ac:dyDescent="0.25">
      <c r="B32" s="61">
        <v>40</v>
      </c>
      <c r="C32" s="65" t="s">
        <v>495</v>
      </c>
      <c r="D32" s="65">
        <v>100</v>
      </c>
      <c r="E32" s="65" t="s">
        <v>488</v>
      </c>
      <c r="F32" s="65">
        <f t="shared" si="1"/>
        <v>1</v>
      </c>
      <c r="G32" s="65">
        <f t="shared" si="0"/>
        <v>1.1000000000000001</v>
      </c>
    </row>
    <row r="33" spans="2:7" x14ac:dyDescent="0.25">
      <c r="B33" s="61">
        <v>61</v>
      </c>
      <c r="C33" s="65" t="s">
        <v>496</v>
      </c>
      <c r="D33" s="65">
        <f>4.72*50</f>
        <v>236</v>
      </c>
      <c r="E33" s="65" t="s">
        <v>488</v>
      </c>
      <c r="F33" s="65">
        <f>D33/50</f>
        <v>4.72</v>
      </c>
      <c r="G33" s="65">
        <f t="shared" si="0"/>
        <v>5.1920000000000002</v>
      </c>
    </row>
    <row r="34" spans="2:7" x14ac:dyDescent="0.25">
      <c r="B34" s="61">
        <v>69</v>
      </c>
      <c r="C34" s="65" t="s">
        <v>497</v>
      </c>
      <c r="D34" s="65"/>
      <c r="E34" s="65"/>
      <c r="F34" s="65"/>
      <c r="G34" s="65">
        <f t="shared" si="0"/>
        <v>0</v>
      </c>
    </row>
    <row r="35" spans="2:7" x14ac:dyDescent="0.25">
      <c r="B35" s="61">
        <v>33</v>
      </c>
      <c r="C35" s="65" t="s">
        <v>154</v>
      </c>
      <c r="D35" s="65">
        <v>320</v>
      </c>
      <c r="E35" s="65" t="s">
        <v>498</v>
      </c>
      <c r="F35" s="65">
        <f>D35/12</f>
        <v>26.666666666666668</v>
      </c>
      <c r="G35" s="65">
        <f t="shared" si="0"/>
        <v>29.333333333333336</v>
      </c>
    </row>
    <row r="36" spans="2:7" x14ac:dyDescent="0.25">
      <c r="B36" s="61">
        <v>27</v>
      </c>
      <c r="C36" s="65" t="s">
        <v>499</v>
      </c>
      <c r="D36" s="65">
        <v>12</v>
      </c>
      <c r="E36" s="65"/>
      <c r="F36" s="65">
        <v>12</v>
      </c>
      <c r="G36" s="65">
        <f t="shared" si="0"/>
        <v>13.2</v>
      </c>
    </row>
    <row r="37" spans="2:7" x14ac:dyDescent="0.25">
      <c r="B37" s="61">
        <v>28</v>
      </c>
      <c r="C37" s="65" t="s">
        <v>500</v>
      </c>
      <c r="D37" s="65">
        <v>12</v>
      </c>
      <c r="E37" s="65"/>
      <c r="F37" s="65">
        <v>12</v>
      </c>
      <c r="G37" s="65">
        <f t="shared" si="0"/>
        <v>13.2</v>
      </c>
    </row>
    <row r="38" spans="2:7" x14ac:dyDescent="0.25">
      <c r="B38" s="61">
        <v>29</v>
      </c>
      <c r="C38" s="65" t="s">
        <v>501</v>
      </c>
      <c r="D38" s="65">
        <v>12</v>
      </c>
      <c r="E38" s="65"/>
      <c r="F38" s="65">
        <v>12</v>
      </c>
      <c r="G38" s="65">
        <f t="shared" si="0"/>
        <v>13.2</v>
      </c>
    </row>
    <row r="39" spans="2:7" x14ac:dyDescent="0.25">
      <c r="B39" s="61">
        <v>26</v>
      </c>
      <c r="C39" s="65" t="s">
        <v>502</v>
      </c>
      <c r="D39" s="65">
        <v>11</v>
      </c>
      <c r="E39" s="65"/>
      <c r="F39" s="65">
        <v>11</v>
      </c>
      <c r="G39" s="65">
        <f t="shared" si="0"/>
        <v>12.1</v>
      </c>
    </row>
    <row r="40" spans="2:7" x14ac:dyDescent="0.25">
      <c r="B40" s="61">
        <v>36</v>
      </c>
      <c r="C40" s="65" t="s">
        <v>503</v>
      </c>
      <c r="D40" s="65">
        <v>400</v>
      </c>
      <c r="E40" s="65" t="s">
        <v>488</v>
      </c>
      <c r="F40" s="65">
        <f>D40/100</f>
        <v>4</v>
      </c>
      <c r="G40" s="65">
        <f t="shared" ref="G40:G64" si="2">(SUM($G$2:$G$3)*F40)+F40</f>
        <v>4.4000000000000004</v>
      </c>
    </row>
    <row r="41" spans="2:7" x14ac:dyDescent="0.25">
      <c r="B41" s="61">
        <v>39</v>
      </c>
      <c r="C41" s="81" t="s">
        <v>507</v>
      </c>
      <c r="D41" s="65"/>
      <c r="E41" s="65"/>
      <c r="F41" s="65"/>
      <c r="G41" s="65">
        <f t="shared" si="2"/>
        <v>0</v>
      </c>
    </row>
    <row r="42" spans="2:7" x14ac:dyDescent="0.25">
      <c r="B42" s="61">
        <v>38</v>
      </c>
      <c r="C42" s="81" t="s">
        <v>506</v>
      </c>
      <c r="D42" s="65"/>
      <c r="E42" s="65"/>
      <c r="F42" s="65"/>
      <c r="G42" s="65">
        <f t="shared" si="2"/>
        <v>0</v>
      </c>
    </row>
    <row r="43" spans="2:7" x14ac:dyDescent="0.25">
      <c r="B43" s="61">
        <v>37</v>
      </c>
      <c r="C43" s="81" t="s">
        <v>647</v>
      </c>
      <c r="D43" s="65">
        <v>318</v>
      </c>
      <c r="E43" s="65" t="s">
        <v>488</v>
      </c>
      <c r="F43" s="65">
        <v>3.18</v>
      </c>
      <c r="G43" s="65">
        <f t="shared" si="2"/>
        <v>3.4980000000000002</v>
      </c>
    </row>
    <row r="44" spans="2:7" x14ac:dyDescent="0.25">
      <c r="B44" s="61">
        <v>67</v>
      </c>
      <c r="C44" s="65" t="s">
        <v>504</v>
      </c>
      <c r="D44" s="65">
        <v>30.2</v>
      </c>
      <c r="E44" s="65" t="s">
        <v>477</v>
      </c>
      <c r="F44" s="65">
        <v>5</v>
      </c>
      <c r="G44" s="65">
        <f t="shared" si="2"/>
        <v>5.5</v>
      </c>
    </row>
    <row r="45" spans="2:7" x14ac:dyDescent="0.25">
      <c r="B45" s="61">
        <v>77</v>
      </c>
      <c r="C45" s="65" t="s">
        <v>505</v>
      </c>
      <c r="D45" s="65">
        <v>245</v>
      </c>
      <c r="E45" s="65" t="s">
        <v>488</v>
      </c>
      <c r="F45" s="65">
        <f>D45/500</f>
        <v>0.49</v>
      </c>
      <c r="G45" s="65">
        <f t="shared" si="2"/>
        <v>0.53900000000000003</v>
      </c>
    </row>
    <row r="46" spans="2:7" x14ac:dyDescent="0.25">
      <c r="C46" s="65" t="s">
        <v>155</v>
      </c>
      <c r="D46" s="65">
        <v>1690</v>
      </c>
      <c r="E46" s="65" t="s">
        <v>498</v>
      </c>
      <c r="F46" s="65">
        <f>D46/12</f>
        <v>140.83333333333334</v>
      </c>
      <c r="G46" s="65">
        <f t="shared" si="2"/>
        <v>154.91666666666669</v>
      </c>
    </row>
    <row r="47" spans="2:7" x14ac:dyDescent="0.25">
      <c r="C47" s="81" t="s">
        <v>306</v>
      </c>
      <c r="D47" s="65"/>
      <c r="E47" s="65"/>
      <c r="F47" s="65">
        <v>4</v>
      </c>
      <c r="G47" s="65">
        <f t="shared" si="2"/>
        <v>4.4000000000000004</v>
      </c>
    </row>
    <row r="48" spans="2:7" x14ac:dyDescent="0.25">
      <c r="C48" s="81" t="s">
        <v>518</v>
      </c>
      <c r="D48" s="65"/>
      <c r="E48" s="81"/>
      <c r="F48" s="95">
        <v>50</v>
      </c>
      <c r="G48" s="65">
        <f t="shared" si="2"/>
        <v>55</v>
      </c>
    </row>
    <row r="49" spans="2:7" x14ac:dyDescent="0.25">
      <c r="C49" s="81" t="s">
        <v>523</v>
      </c>
      <c r="D49" s="65"/>
      <c r="E49" s="65"/>
      <c r="F49" s="65">
        <v>4.5</v>
      </c>
      <c r="G49" s="65">
        <f t="shared" si="2"/>
        <v>4.95</v>
      </c>
    </row>
    <row r="50" spans="2:7" x14ac:dyDescent="0.25">
      <c r="C50" s="65"/>
      <c r="D50" s="65"/>
      <c r="E50" s="65"/>
      <c r="F50" s="65"/>
      <c r="G50" s="65">
        <f t="shared" si="2"/>
        <v>0</v>
      </c>
    </row>
    <row r="51" spans="2:7" x14ac:dyDescent="0.25">
      <c r="C51" s="65"/>
      <c r="D51" s="65"/>
      <c r="E51" s="65"/>
      <c r="F51" s="65"/>
      <c r="G51" s="65">
        <f t="shared" si="2"/>
        <v>0</v>
      </c>
    </row>
    <row r="52" spans="2:7" x14ac:dyDescent="0.25">
      <c r="C52" s="65"/>
      <c r="D52" s="65"/>
      <c r="E52" s="65"/>
      <c r="F52" s="65"/>
      <c r="G52" s="65">
        <f t="shared" si="2"/>
        <v>0</v>
      </c>
    </row>
    <row r="53" spans="2:7" x14ac:dyDescent="0.25">
      <c r="C53" s="65"/>
      <c r="D53" s="65"/>
      <c r="E53" s="65"/>
      <c r="F53" s="65"/>
      <c r="G53" s="65">
        <f t="shared" si="2"/>
        <v>0</v>
      </c>
    </row>
    <row r="54" spans="2:7" x14ac:dyDescent="0.25">
      <c r="C54" s="65"/>
      <c r="D54" s="65"/>
      <c r="E54" s="65"/>
      <c r="F54" s="65"/>
      <c r="G54" s="65">
        <f t="shared" si="2"/>
        <v>0</v>
      </c>
    </row>
    <row r="55" spans="2:7" x14ac:dyDescent="0.25">
      <c r="C55" s="65"/>
      <c r="D55" s="65"/>
      <c r="E55" s="65"/>
      <c r="F55" s="65"/>
      <c r="G55" s="65">
        <f t="shared" si="2"/>
        <v>0</v>
      </c>
    </row>
    <row r="56" spans="2:7" x14ac:dyDescent="0.25">
      <c r="C56" s="65"/>
      <c r="D56" s="65"/>
      <c r="E56" s="65"/>
      <c r="F56" s="65"/>
      <c r="G56" s="65">
        <f t="shared" si="2"/>
        <v>0</v>
      </c>
    </row>
    <row r="57" spans="2:7" x14ac:dyDescent="0.25">
      <c r="C57" s="65"/>
      <c r="D57" s="65"/>
      <c r="E57" s="65"/>
      <c r="F57" s="65"/>
      <c r="G57" s="65">
        <f t="shared" si="2"/>
        <v>0</v>
      </c>
    </row>
    <row r="58" spans="2:7" x14ac:dyDescent="0.25">
      <c r="C58" s="65"/>
      <c r="D58" s="65"/>
      <c r="E58" s="65"/>
      <c r="F58" s="65"/>
      <c r="G58" s="65">
        <f t="shared" si="2"/>
        <v>0</v>
      </c>
    </row>
    <row r="59" spans="2:7" x14ac:dyDescent="0.25">
      <c r="C59" s="65"/>
      <c r="D59" s="65"/>
      <c r="E59" s="65"/>
      <c r="F59" s="65"/>
      <c r="G59" s="65">
        <f t="shared" si="2"/>
        <v>0</v>
      </c>
    </row>
    <row r="60" spans="2:7" x14ac:dyDescent="0.25">
      <c r="C60" s="65"/>
      <c r="D60" s="65"/>
      <c r="E60" s="65"/>
      <c r="F60" s="65"/>
      <c r="G60" s="65">
        <f t="shared" si="2"/>
        <v>0</v>
      </c>
    </row>
    <row r="61" spans="2:7" x14ac:dyDescent="0.25">
      <c r="C61" s="65"/>
      <c r="D61" s="65"/>
      <c r="E61" s="65"/>
      <c r="F61" s="65"/>
      <c r="G61" s="65">
        <f t="shared" si="2"/>
        <v>0</v>
      </c>
    </row>
    <row r="62" spans="2:7" x14ac:dyDescent="0.25">
      <c r="C62" s="65"/>
      <c r="D62" s="65"/>
      <c r="E62" s="65"/>
      <c r="F62" s="65"/>
      <c r="G62" s="65">
        <f t="shared" si="2"/>
        <v>0</v>
      </c>
    </row>
    <row r="63" spans="2:7" x14ac:dyDescent="0.25">
      <c r="C63" s="65"/>
      <c r="D63" s="65"/>
      <c r="E63" s="65"/>
      <c r="F63" s="65"/>
      <c r="G63" s="65">
        <f t="shared" si="2"/>
        <v>0</v>
      </c>
    </row>
    <row r="64" spans="2:7" x14ac:dyDescent="0.25">
      <c r="B64" s="61">
        <v>34</v>
      </c>
      <c r="C64" s="65"/>
      <c r="D64" s="65"/>
      <c r="E64" s="65"/>
      <c r="F64" s="65"/>
      <c r="G64" s="65">
        <f t="shared" si="2"/>
        <v>0</v>
      </c>
    </row>
    <row r="65" spans="3:7" x14ac:dyDescent="0.25">
      <c r="C65" s="147"/>
      <c r="D65" s="147"/>
      <c r="E65" s="147"/>
      <c r="F65" s="147"/>
      <c r="G65" s="147"/>
    </row>
  </sheetData>
  <sheetProtection sheet="1" objects="1" scenarios="1"/>
  <mergeCells count="7">
    <mergeCell ref="C5:G5"/>
    <mergeCell ref="F6:G6"/>
    <mergeCell ref="C2:C3"/>
    <mergeCell ref="D2:F2"/>
    <mergeCell ref="D3:F3"/>
    <mergeCell ref="C6:C7"/>
    <mergeCell ref="D6:E6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3:I48"/>
  <sheetViews>
    <sheetView showGridLines="0" workbookViewId="0">
      <selection activeCell="D29" sqref="D29"/>
    </sheetView>
  </sheetViews>
  <sheetFormatPr defaultRowHeight="15" x14ac:dyDescent="0.25"/>
  <cols>
    <col min="1" max="1" width="9.140625" style="61"/>
    <col min="2" max="2" width="0" style="61" hidden="1" customWidth="1"/>
    <col min="3" max="3" width="44.7109375" style="61" hidden="1" customWidth="1"/>
    <col min="4" max="7" width="0" style="61" hidden="1" customWidth="1"/>
    <col min="8" max="8" width="43.28515625" style="61" bestFit="1" customWidth="1"/>
    <col min="9" max="9" width="12.85546875" style="61" customWidth="1"/>
    <col min="10" max="16384" width="9.140625" style="61"/>
  </cols>
  <sheetData>
    <row r="3" spans="2:9" x14ac:dyDescent="0.25">
      <c r="B3" s="96" t="s">
        <v>19</v>
      </c>
      <c r="C3" s="97" t="s">
        <v>164</v>
      </c>
      <c r="D3" s="61" t="s">
        <v>165</v>
      </c>
      <c r="E3" s="61" t="s">
        <v>166</v>
      </c>
      <c r="F3" s="97" t="s">
        <v>167</v>
      </c>
    </row>
    <row r="4" spans="2:9" ht="15.75" x14ac:dyDescent="0.25">
      <c r="B4" s="98">
        <v>1</v>
      </c>
      <c r="C4" s="99" t="s">
        <v>168</v>
      </c>
      <c r="H4" s="191" t="s">
        <v>586</v>
      </c>
      <c r="I4" s="191"/>
    </row>
    <row r="5" spans="2:9" x14ac:dyDescent="0.25">
      <c r="B5" s="100" t="s">
        <v>169</v>
      </c>
      <c r="C5" s="101" t="s">
        <v>170</v>
      </c>
      <c r="H5" s="149" t="s">
        <v>585</v>
      </c>
      <c r="I5" s="147" t="s">
        <v>467</v>
      </c>
    </row>
    <row r="6" spans="2:9" x14ac:dyDescent="0.25">
      <c r="B6" s="102" t="s">
        <v>171</v>
      </c>
      <c r="C6" s="103" t="s">
        <v>172</v>
      </c>
      <c r="D6" s="61" t="s">
        <v>173</v>
      </c>
      <c r="E6" s="61" t="s">
        <v>173</v>
      </c>
      <c r="F6" s="82">
        <v>5</v>
      </c>
      <c r="G6" s="61">
        <v>1</v>
      </c>
      <c r="H6" s="65" t="str">
        <f t="shared" ref="H6:H17" si="0">C6</f>
        <v>Hemoglobin</v>
      </c>
      <c r="I6" s="65">
        <f>F6</f>
        <v>5</v>
      </c>
    </row>
    <row r="7" spans="2:9" x14ac:dyDescent="0.25">
      <c r="B7" s="102" t="s">
        <v>174</v>
      </c>
      <c r="C7" s="103" t="s">
        <v>175</v>
      </c>
      <c r="D7" s="61" t="s">
        <v>173</v>
      </c>
      <c r="E7" s="61" t="s">
        <v>173</v>
      </c>
      <c r="F7" s="82">
        <v>1.5</v>
      </c>
      <c r="G7" s="61">
        <v>2</v>
      </c>
      <c r="H7" s="65" t="str">
        <f t="shared" si="0"/>
        <v>Red and white blood cell count</v>
      </c>
      <c r="I7" s="65">
        <f>F7</f>
        <v>1.5</v>
      </c>
    </row>
    <row r="8" spans="2:9" x14ac:dyDescent="0.25">
      <c r="B8" s="102" t="s">
        <v>176</v>
      </c>
      <c r="C8" s="103" t="s">
        <v>177</v>
      </c>
      <c r="D8" s="61" t="s">
        <v>173</v>
      </c>
      <c r="E8" s="61" t="s">
        <v>173</v>
      </c>
      <c r="F8" s="82">
        <v>4</v>
      </c>
      <c r="G8" s="61">
        <v>3</v>
      </c>
      <c r="H8" s="65" t="str">
        <f t="shared" si="0"/>
        <v>Differential cell count</v>
      </c>
      <c r="I8" s="65">
        <f>F8</f>
        <v>4</v>
      </c>
    </row>
    <row r="9" spans="2:9" x14ac:dyDescent="0.25">
      <c r="B9" s="102" t="s">
        <v>178</v>
      </c>
      <c r="C9" s="103" t="s">
        <v>179</v>
      </c>
      <c r="E9" s="61" t="s">
        <v>173</v>
      </c>
      <c r="F9" s="82">
        <v>0</v>
      </c>
      <c r="G9" s="61">
        <v>4</v>
      </c>
      <c r="H9" s="65" t="str">
        <f t="shared" si="0"/>
        <v>ESR</v>
      </c>
      <c r="I9" s="65">
        <v>5</v>
      </c>
    </row>
    <row r="10" spans="2:9" x14ac:dyDescent="0.25">
      <c r="B10" s="102" t="s">
        <v>180</v>
      </c>
      <c r="C10" s="103" t="s">
        <v>181</v>
      </c>
      <c r="E10" s="61" t="s">
        <v>173</v>
      </c>
      <c r="G10" s="61">
        <v>5</v>
      </c>
      <c r="H10" s="65" t="str">
        <f t="shared" si="0"/>
        <v>Hematocrit</v>
      </c>
      <c r="I10" s="65">
        <f>F10</f>
        <v>0</v>
      </c>
    </row>
    <row r="11" spans="2:9" x14ac:dyDescent="0.25">
      <c r="B11" s="102" t="s">
        <v>182</v>
      </c>
      <c r="C11" s="103" t="s">
        <v>183</v>
      </c>
      <c r="D11" s="61" t="s">
        <v>173</v>
      </c>
      <c r="E11" s="61" t="s">
        <v>173</v>
      </c>
      <c r="F11" s="82">
        <v>0</v>
      </c>
      <c r="G11" s="61">
        <v>6</v>
      </c>
      <c r="H11" s="65" t="str">
        <f t="shared" si="0"/>
        <v>Malaria parasite smear (MPS)</v>
      </c>
      <c r="I11" s="65">
        <v>5</v>
      </c>
    </row>
    <row r="12" spans="2:9" x14ac:dyDescent="0.25">
      <c r="B12" s="102" t="s">
        <v>184</v>
      </c>
      <c r="C12" s="103" t="s">
        <v>185</v>
      </c>
      <c r="E12" s="61" t="s">
        <v>173</v>
      </c>
      <c r="F12" s="82">
        <v>2</v>
      </c>
      <c r="G12" s="61">
        <v>7</v>
      </c>
      <c r="H12" s="65" t="str">
        <f t="shared" si="0"/>
        <v>Bleeding time and coagulation time</v>
      </c>
      <c r="I12" s="65">
        <f t="shared" ref="I12:I17" si="1">F12</f>
        <v>2</v>
      </c>
    </row>
    <row r="13" spans="2:9" x14ac:dyDescent="0.25">
      <c r="B13" s="102" t="s">
        <v>186</v>
      </c>
      <c r="C13" s="103" t="s">
        <v>187</v>
      </c>
      <c r="E13" s="61" t="s">
        <v>173</v>
      </c>
      <c r="F13" s="82">
        <v>5</v>
      </c>
      <c r="G13" s="61">
        <v>8</v>
      </c>
      <c r="H13" s="65" t="str">
        <f t="shared" si="0"/>
        <v>Blood grouping and Rh factors</v>
      </c>
      <c r="I13" s="65">
        <f t="shared" si="1"/>
        <v>5</v>
      </c>
    </row>
    <row r="14" spans="2:9" x14ac:dyDescent="0.25">
      <c r="B14" s="102" t="s">
        <v>188</v>
      </c>
      <c r="C14" s="103" t="s">
        <v>189</v>
      </c>
      <c r="E14" s="61" t="s">
        <v>173</v>
      </c>
      <c r="F14" s="82">
        <v>14</v>
      </c>
      <c r="G14" s="61">
        <v>9</v>
      </c>
      <c r="H14" s="65" t="str">
        <f t="shared" si="0"/>
        <v xml:space="preserve">Hepatitis B </v>
      </c>
      <c r="I14" s="65">
        <f t="shared" si="1"/>
        <v>14</v>
      </c>
    </row>
    <row r="15" spans="2:9" x14ac:dyDescent="0.25">
      <c r="B15" s="102"/>
      <c r="C15" s="103" t="s">
        <v>190</v>
      </c>
      <c r="F15" s="82">
        <v>24</v>
      </c>
      <c r="G15" s="61">
        <v>10</v>
      </c>
      <c r="H15" s="65" t="str">
        <f t="shared" si="0"/>
        <v>Hepatitis C</v>
      </c>
      <c r="I15" s="65">
        <f t="shared" si="1"/>
        <v>24</v>
      </c>
    </row>
    <row r="16" spans="2:9" x14ac:dyDescent="0.25">
      <c r="B16" s="102"/>
      <c r="C16" s="103" t="s">
        <v>191</v>
      </c>
      <c r="F16" s="82">
        <v>30</v>
      </c>
      <c r="G16" s="61">
        <v>11</v>
      </c>
      <c r="H16" s="65" t="str">
        <f t="shared" si="0"/>
        <v>Syphilis</v>
      </c>
      <c r="I16" s="65">
        <f t="shared" si="1"/>
        <v>30</v>
      </c>
    </row>
    <row r="17" spans="2:9" x14ac:dyDescent="0.25">
      <c r="B17" s="102" t="s">
        <v>27</v>
      </c>
      <c r="C17" s="103" t="s">
        <v>192</v>
      </c>
      <c r="E17" s="61" t="s">
        <v>173</v>
      </c>
      <c r="F17" s="82">
        <v>50</v>
      </c>
      <c r="G17" s="61">
        <v>12</v>
      </c>
      <c r="H17" s="65" t="str">
        <f t="shared" si="0"/>
        <v>HIV test</v>
      </c>
      <c r="I17" s="65">
        <f t="shared" si="1"/>
        <v>50</v>
      </c>
    </row>
    <row r="18" spans="2:9" x14ac:dyDescent="0.25">
      <c r="B18" s="100" t="s">
        <v>193</v>
      </c>
      <c r="C18" s="101" t="s">
        <v>194</v>
      </c>
      <c r="F18" s="82"/>
      <c r="G18" s="61">
        <v>13</v>
      </c>
      <c r="H18" s="65"/>
      <c r="I18" s="65"/>
    </row>
    <row r="19" spans="2:9" x14ac:dyDescent="0.25">
      <c r="B19" s="104" t="s">
        <v>171</v>
      </c>
      <c r="C19" s="103" t="s">
        <v>195</v>
      </c>
      <c r="D19" s="61" t="s">
        <v>173</v>
      </c>
      <c r="E19" s="61" t="s">
        <v>173</v>
      </c>
      <c r="F19" s="82">
        <v>6</v>
      </c>
      <c r="G19" s="61">
        <v>14</v>
      </c>
      <c r="H19" s="65" t="str">
        <f>C19</f>
        <v>Ziehl-Nielsen staining for acid fast bacilli (AFB)</v>
      </c>
      <c r="I19" s="65">
        <f>F19</f>
        <v>6</v>
      </c>
    </row>
    <row r="20" spans="2:9" x14ac:dyDescent="0.25">
      <c r="B20" s="104" t="s">
        <v>174</v>
      </c>
      <c r="C20" s="103" t="s">
        <v>196</v>
      </c>
      <c r="D20" s="61" t="s">
        <v>173</v>
      </c>
      <c r="E20" s="61" t="s">
        <v>173</v>
      </c>
      <c r="F20" s="82">
        <v>6</v>
      </c>
      <c r="G20" s="61">
        <v>15</v>
      </c>
      <c r="H20" s="65" t="str">
        <f>C20</f>
        <v>Direct smear for AFB</v>
      </c>
      <c r="I20" s="65">
        <f>F20</f>
        <v>6</v>
      </c>
    </row>
    <row r="21" spans="2:9" x14ac:dyDescent="0.25">
      <c r="B21" s="104" t="s">
        <v>176</v>
      </c>
      <c r="C21" s="103" t="s">
        <v>197</v>
      </c>
      <c r="D21" s="61" t="s">
        <v>173</v>
      </c>
      <c r="E21" s="61" t="s">
        <v>173</v>
      </c>
      <c r="F21" s="82">
        <v>6</v>
      </c>
      <c r="G21" s="61">
        <v>16</v>
      </c>
      <c r="H21" s="65" t="str">
        <f>C21</f>
        <v>Gram’s staining</v>
      </c>
      <c r="I21" s="65">
        <f>F21</f>
        <v>6</v>
      </c>
    </row>
    <row r="22" spans="2:9" x14ac:dyDescent="0.25">
      <c r="B22" s="100" t="s">
        <v>198</v>
      </c>
      <c r="C22" s="101" t="s">
        <v>199</v>
      </c>
      <c r="F22" s="82"/>
      <c r="G22" s="61">
        <v>17</v>
      </c>
      <c r="H22" s="65"/>
      <c r="I22" s="65"/>
    </row>
    <row r="23" spans="2:9" x14ac:dyDescent="0.25">
      <c r="B23" s="104" t="s">
        <v>171</v>
      </c>
      <c r="C23" s="103" t="s">
        <v>200</v>
      </c>
      <c r="E23" s="61" t="s">
        <v>173</v>
      </c>
      <c r="F23" s="82">
        <v>80</v>
      </c>
      <c r="G23" s="61">
        <v>18</v>
      </c>
      <c r="H23" s="65" t="str">
        <f>C23</f>
        <v>Typhi dot</v>
      </c>
      <c r="I23" s="65">
        <f>F23</f>
        <v>80</v>
      </c>
    </row>
    <row r="24" spans="2:9" x14ac:dyDescent="0.25">
      <c r="B24" s="100" t="s">
        <v>201</v>
      </c>
      <c r="C24" s="101" t="s">
        <v>202</v>
      </c>
      <c r="F24" s="82"/>
      <c r="G24" s="61">
        <v>19</v>
      </c>
      <c r="H24" s="65"/>
      <c r="I24" s="65"/>
    </row>
    <row r="25" spans="2:9" x14ac:dyDescent="0.25">
      <c r="B25" s="104" t="s">
        <v>171</v>
      </c>
      <c r="C25" s="103" t="s">
        <v>203</v>
      </c>
      <c r="D25" s="61" t="s">
        <v>173</v>
      </c>
      <c r="E25" s="61" t="s">
        <v>173</v>
      </c>
      <c r="F25" s="231">
        <v>8.5</v>
      </c>
      <c r="G25" s="61">
        <v>20</v>
      </c>
      <c r="H25" s="65" t="str">
        <f>C25</f>
        <v>Urine analysis: physical exam</v>
      </c>
      <c r="I25" s="65">
        <f>F25</f>
        <v>8.5</v>
      </c>
    </row>
    <row r="26" spans="2:9" x14ac:dyDescent="0.25">
      <c r="B26" s="104" t="s">
        <v>174</v>
      </c>
      <c r="C26" s="103" t="s">
        <v>204</v>
      </c>
      <c r="D26" s="61" t="s">
        <v>173</v>
      </c>
      <c r="E26" s="61" t="s">
        <v>173</v>
      </c>
      <c r="F26" s="231"/>
      <c r="G26" s="61">
        <v>21</v>
      </c>
      <c r="H26" s="65"/>
      <c r="I26" s="65"/>
    </row>
    <row r="27" spans="2:9" x14ac:dyDescent="0.25">
      <c r="B27" s="104" t="s">
        <v>176</v>
      </c>
      <c r="C27" s="103" t="s">
        <v>205</v>
      </c>
      <c r="D27" s="61" t="s">
        <v>173</v>
      </c>
      <c r="E27" s="61" t="s">
        <v>173</v>
      </c>
      <c r="F27" s="231"/>
      <c r="G27" s="61">
        <v>22</v>
      </c>
      <c r="H27" s="65"/>
      <c r="I27" s="65"/>
    </row>
    <row r="28" spans="2:9" x14ac:dyDescent="0.25">
      <c r="B28" s="104" t="s">
        <v>178</v>
      </c>
      <c r="C28" s="103" t="s">
        <v>206</v>
      </c>
      <c r="D28" s="61" t="s">
        <v>173</v>
      </c>
      <c r="E28" s="61" t="s">
        <v>173</v>
      </c>
      <c r="F28" s="231"/>
      <c r="G28" s="61">
        <v>23</v>
      </c>
      <c r="H28" s="65"/>
      <c r="I28" s="65"/>
    </row>
    <row r="29" spans="2:9" x14ac:dyDescent="0.25">
      <c r="B29" s="104" t="s">
        <v>180</v>
      </c>
      <c r="C29" s="103" t="s">
        <v>207</v>
      </c>
      <c r="D29" s="61" t="s">
        <v>173</v>
      </c>
      <c r="E29" s="61" t="s">
        <v>173</v>
      </c>
      <c r="F29" s="231"/>
      <c r="G29" s="61">
        <v>24</v>
      </c>
      <c r="H29" s="65"/>
      <c r="I29" s="65"/>
    </row>
    <row r="30" spans="2:9" x14ac:dyDescent="0.25">
      <c r="B30" s="104" t="s">
        <v>182</v>
      </c>
      <c r="C30" s="103" t="s">
        <v>208</v>
      </c>
      <c r="D30" s="61" t="s">
        <v>173</v>
      </c>
      <c r="E30" s="61" t="s">
        <v>173</v>
      </c>
      <c r="F30" s="231">
        <v>1.5</v>
      </c>
      <c r="G30" s="61">
        <v>25</v>
      </c>
      <c r="H30" s="65" t="str">
        <f>C30</f>
        <v>Microscopic (stool test)</v>
      </c>
      <c r="I30" s="65">
        <f>F30</f>
        <v>1.5</v>
      </c>
    </row>
    <row r="31" spans="2:9" x14ac:dyDescent="0.25">
      <c r="B31" s="104" t="s">
        <v>184</v>
      </c>
      <c r="C31" s="103" t="s">
        <v>209</v>
      </c>
      <c r="D31" s="61" t="s">
        <v>173</v>
      </c>
      <c r="E31" s="61" t="s">
        <v>173</v>
      </c>
      <c r="F31" s="231"/>
      <c r="G31" s="61">
        <v>26</v>
      </c>
      <c r="H31" s="65" t="str">
        <f>C31</f>
        <v>Macroscopic (stool test)</v>
      </c>
      <c r="I31" s="65">
        <v>2</v>
      </c>
    </row>
    <row r="32" spans="2:9" x14ac:dyDescent="0.25">
      <c r="B32" s="104" t="s">
        <v>186</v>
      </c>
      <c r="C32" s="103" t="s">
        <v>210</v>
      </c>
      <c r="D32" s="61" t="s">
        <v>173</v>
      </c>
      <c r="E32" s="61" t="s">
        <v>173</v>
      </c>
      <c r="F32" s="82">
        <v>5</v>
      </c>
      <c r="G32" s="61">
        <v>27</v>
      </c>
      <c r="H32" s="65" t="str">
        <f>C32</f>
        <v>Pregnancy test</v>
      </c>
      <c r="I32" s="65">
        <f>F32</f>
        <v>5</v>
      </c>
    </row>
    <row r="33" spans="2:9" x14ac:dyDescent="0.25">
      <c r="B33" s="100" t="s">
        <v>211</v>
      </c>
      <c r="C33" s="101" t="s">
        <v>212</v>
      </c>
      <c r="F33" s="82"/>
      <c r="G33" s="61">
        <v>28</v>
      </c>
      <c r="H33" s="65"/>
      <c r="I33" s="65"/>
    </row>
    <row r="34" spans="2:9" x14ac:dyDescent="0.25">
      <c r="B34" s="104" t="s">
        <v>171</v>
      </c>
      <c r="C34" s="103" t="s">
        <v>213</v>
      </c>
      <c r="E34" s="61" t="s">
        <v>173</v>
      </c>
      <c r="F34" s="82">
        <v>15</v>
      </c>
      <c r="G34" s="61">
        <v>29</v>
      </c>
      <c r="H34" s="65" t="str">
        <f t="shared" ref="H34:H39" si="2">C34</f>
        <v>Blood-sugar test</v>
      </c>
      <c r="I34" s="65">
        <f t="shared" ref="I34:I39" si="3">F34</f>
        <v>15</v>
      </c>
    </row>
    <row r="35" spans="2:9" x14ac:dyDescent="0.25">
      <c r="B35" s="104" t="s">
        <v>174</v>
      </c>
      <c r="C35" s="103" t="s">
        <v>214</v>
      </c>
      <c r="E35" s="61" t="s">
        <v>173</v>
      </c>
      <c r="F35" s="82">
        <v>12</v>
      </c>
      <c r="G35" s="61">
        <v>30</v>
      </c>
      <c r="H35" s="65" t="str">
        <f t="shared" si="2"/>
        <v>Urea test</v>
      </c>
      <c r="I35" s="65">
        <f t="shared" si="3"/>
        <v>12</v>
      </c>
    </row>
    <row r="36" spans="2:9" x14ac:dyDescent="0.25">
      <c r="B36" s="104" t="s">
        <v>176</v>
      </c>
      <c r="C36" s="103" t="s">
        <v>215</v>
      </c>
      <c r="E36" s="61" t="s">
        <v>173</v>
      </c>
      <c r="F36" s="82">
        <v>16</v>
      </c>
      <c r="G36" s="61">
        <v>31</v>
      </c>
      <c r="H36" s="65" t="str">
        <f t="shared" si="2"/>
        <v>Creatinine test</v>
      </c>
      <c r="I36" s="65">
        <f t="shared" si="3"/>
        <v>16</v>
      </c>
    </row>
    <row r="37" spans="2:9" x14ac:dyDescent="0.25">
      <c r="B37" s="104" t="s">
        <v>178</v>
      </c>
      <c r="C37" s="103" t="s">
        <v>216</v>
      </c>
      <c r="E37" s="61" t="s">
        <v>173</v>
      </c>
      <c r="F37" s="82">
        <v>25</v>
      </c>
      <c r="G37" s="61">
        <v>32</v>
      </c>
      <c r="H37" s="65" t="str">
        <f t="shared" si="2"/>
        <v>Total protein test</v>
      </c>
      <c r="I37" s="65">
        <f t="shared" si="3"/>
        <v>25</v>
      </c>
    </row>
    <row r="38" spans="2:9" x14ac:dyDescent="0.25">
      <c r="B38" s="104" t="s">
        <v>180</v>
      </c>
      <c r="C38" s="103" t="s">
        <v>217</v>
      </c>
      <c r="E38" s="61" t="s">
        <v>173</v>
      </c>
      <c r="F38" s="82">
        <v>54</v>
      </c>
      <c r="G38" s="61">
        <v>33</v>
      </c>
      <c r="H38" s="65" t="str">
        <f t="shared" si="2"/>
        <v>Simple liver-function test</v>
      </c>
      <c r="I38" s="65">
        <f t="shared" si="3"/>
        <v>54</v>
      </c>
    </row>
    <row r="39" spans="2:9" x14ac:dyDescent="0.25">
      <c r="B39" s="104" t="s">
        <v>182</v>
      </c>
      <c r="C39" s="103" t="s">
        <v>218</v>
      </c>
      <c r="F39" s="82">
        <v>15</v>
      </c>
      <c r="G39" s="61">
        <v>34</v>
      </c>
      <c r="H39" s="65" t="str">
        <f t="shared" si="2"/>
        <v>Brucellosis</v>
      </c>
      <c r="I39" s="65">
        <f t="shared" si="3"/>
        <v>15</v>
      </c>
    </row>
    <row r="40" spans="2:9" x14ac:dyDescent="0.25">
      <c r="B40" s="100" t="s">
        <v>219</v>
      </c>
      <c r="C40" s="101" t="s">
        <v>220</v>
      </c>
      <c r="F40" s="82"/>
      <c r="G40" s="61">
        <v>35</v>
      </c>
      <c r="H40" s="65"/>
      <c r="I40" s="65"/>
    </row>
    <row r="41" spans="2:9" x14ac:dyDescent="0.25">
      <c r="B41" s="104" t="s">
        <v>171</v>
      </c>
      <c r="C41" s="103" t="s">
        <v>221</v>
      </c>
      <c r="D41" s="61" t="s">
        <v>173</v>
      </c>
      <c r="E41" s="61" t="s">
        <v>173</v>
      </c>
      <c r="F41" s="82">
        <v>5.5</v>
      </c>
      <c r="G41" s="61">
        <v>36</v>
      </c>
      <c r="H41" s="65" t="str">
        <f>C41</f>
        <v>Body fluids</v>
      </c>
      <c r="I41" s="65">
        <f>F41</f>
        <v>5.5</v>
      </c>
    </row>
    <row r="42" spans="2:9" x14ac:dyDescent="0.25">
      <c r="B42" s="98">
        <v>2</v>
      </c>
      <c r="C42" s="99" t="s">
        <v>222</v>
      </c>
      <c r="F42" s="82"/>
      <c r="G42" s="61">
        <v>37</v>
      </c>
      <c r="H42" s="65"/>
      <c r="I42" s="65"/>
    </row>
    <row r="43" spans="2:9" x14ac:dyDescent="0.25">
      <c r="B43" s="100" t="s">
        <v>169</v>
      </c>
      <c r="C43" s="101" t="s">
        <v>223</v>
      </c>
      <c r="F43" s="82"/>
      <c r="G43" s="61">
        <v>38</v>
      </c>
      <c r="H43" s="65"/>
      <c r="I43" s="65"/>
    </row>
    <row r="44" spans="2:9" x14ac:dyDescent="0.25">
      <c r="B44" s="104" t="s">
        <v>171</v>
      </c>
      <c r="C44" s="103" t="s">
        <v>224</v>
      </c>
      <c r="E44" s="61" t="s">
        <v>173</v>
      </c>
      <c r="F44" s="82">
        <v>40</v>
      </c>
      <c r="G44" s="61">
        <v>39</v>
      </c>
      <c r="H44" s="81" t="s">
        <v>649</v>
      </c>
      <c r="I44" s="65">
        <f>F44</f>
        <v>40</v>
      </c>
    </row>
    <row r="45" spans="2:9" x14ac:dyDescent="0.25">
      <c r="B45" s="104" t="s">
        <v>174</v>
      </c>
      <c r="C45" s="103" t="s">
        <v>225</v>
      </c>
      <c r="E45" s="61" t="s">
        <v>173</v>
      </c>
      <c r="F45" s="82">
        <v>40</v>
      </c>
      <c r="G45" s="61">
        <v>40</v>
      </c>
      <c r="H45" s="65" t="str">
        <f>C45</f>
        <v>Abdomen</v>
      </c>
      <c r="I45" s="65">
        <f>F45</f>
        <v>40</v>
      </c>
    </row>
    <row r="46" spans="2:9" x14ac:dyDescent="0.25">
      <c r="B46" s="104" t="s">
        <v>176</v>
      </c>
      <c r="C46" s="103" t="s">
        <v>226</v>
      </c>
      <c r="E46" s="61" t="s">
        <v>173</v>
      </c>
      <c r="F46" s="82">
        <v>40</v>
      </c>
      <c r="G46" s="61">
        <v>41</v>
      </c>
      <c r="H46" s="65" t="str">
        <f>C46</f>
        <v>Skeletal</v>
      </c>
      <c r="I46" s="65">
        <f>F46</f>
        <v>40</v>
      </c>
    </row>
    <row r="47" spans="2:9" x14ac:dyDescent="0.25">
      <c r="B47" s="105" t="s">
        <v>178</v>
      </c>
      <c r="C47" s="103" t="s">
        <v>227</v>
      </c>
      <c r="F47" s="82">
        <v>3</v>
      </c>
      <c r="G47" s="61">
        <v>42</v>
      </c>
      <c r="H47" s="65" t="str">
        <f>C47</f>
        <v>Ultrasound</v>
      </c>
      <c r="I47" s="65">
        <v>5</v>
      </c>
    </row>
    <row r="48" spans="2:9" x14ac:dyDescent="0.25">
      <c r="H48" s="149"/>
      <c r="I48" s="149"/>
    </row>
  </sheetData>
  <sheetProtection sheet="1" objects="1" scenarios="1"/>
  <mergeCells count="3">
    <mergeCell ref="F25:F29"/>
    <mergeCell ref="F30:F31"/>
    <mergeCell ref="H4:I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C1:X34"/>
  <sheetViews>
    <sheetView showGridLines="0" zoomScaleNormal="100" workbookViewId="0">
      <selection activeCell="D29" sqref="D29"/>
    </sheetView>
  </sheetViews>
  <sheetFormatPr defaultRowHeight="15" x14ac:dyDescent="0.25"/>
  <cols>
    <col min="1" max="2" width="9.140625" style="61"/>
    <col min="3" max="3" width="38.5703125" style="61" bestFit="1" customWidth="1"/>
    <col min="4" max="5" width="9.140625" style="61"/>
    <col min="6" max="6" width="14.7109375" style="61" bestFit="1" customWidth="1"/>
    <col min="7" max="7" width="11.7109375" style="61" bestFit="1" customWidth="1"/>
    <col min="8" max="8" width="9.7109375" style="61" bestFit="1" customWidth="1"/>
    <col min="9" max="9" width="7.7109375" style="61" bestFit="1" customWidth="1"/>
    <col min="10" max="13" width="9.140625" style="61" customWidth="1"/>
    <col min="14" max="14" width="10.7109375" style="61" hidden="1" customWidth="1"/>
    <col min="15" max="15" width="9.140625" style="61" hidden="1" customWidth="1"/>
    <col min="16" max="16" width="13.28515625" style="61" hidden="1" customWidth="1"/>
    <col min="17" max="21" width="9.140625" style="61" hidden="1" customWidth="1"/>
    <col min="22" max="22" width="40" style="61" hidden="1" customWidth="1"/>
    <col min="23" max="23" width="10.7109375" style="61" hidden="1" customWidth="1"/>
    <col min="24" max="24" width="9.140625" style="61" hidden="1" customWidth="1"/>
    <col min="25" max="25" width="0" style="61" hidden="1" customWidth="1"/>
    <col min="26" max="16384" width="9.140625" style="61"/>
  </cols>
  <sheetData>
    <row r="1" spans="3:24" x14ac:dyDescent="0.25">
      <c r="H1" s="106">
        <f>25*8</f>
        <v>200</v>
      </c>
      <c r="I1" s="106">
        <v>60</v>
      </c>
    </row>
    <row r="2" spans="3:24" x14ac:dyDescent="0.25">
      <c r="C2" s="192" t="s">
        <v>248</v>
      </c>
      <c r="D2" s="235" t="s">
        <v>249</v>
      </c>
      <c r="E2" s="235" t="s">
        <v>228</v>
      </c>
      <c r="F2" s="235" t="s">
        <v>310</v>
      </c>
      <c r="G2" s="235"/>
      <c r="H2" s="235"/>
      <c r="I2" s="235"/>
      <c r="V2" s="233" t="s">
        <v>248</v>
      </c>
    </row>
    <row r="3" spans="3:24" ht="15" customHeight="1" x14ac:dyDescent="0.25">
      <c r="C3" s="193"/>
      <c r="D3" s="235"/>
      <c r="E3" s="235"/>
      <c r="F3" s="130" t="s">
        <v>237</v>
      </c>
      <c r="G3" s="130" t="s">
        <v>307</v>
      </c>
      <c r="H3" s="130" t="s">
        <v>308</v>
      </c>
      <c r="I3" s="130" t="s">
        <v>309</v>
      </c>
      <c r="V3" s="234"/>
      <c r="W3" s="61" t="s">
        <v>657</v>
      </c>
      <c r="X3" s="61" t="s">
        <v>658</v>
      </c>
    </row>
    <row r="4" spans="3:24" hidden="1" x14ac:dyDescent="0.25">
      <c r="C4" s="131" t="s">
        <v>137</v>
      </c>
      <c r="D4" s="132">
        <v>0</v>
      </c>
      <c r="E4" s="132">
        <v>17</v>
      </c>
      <c r="F4" s="133">
        <f>VLOOKUP($E$4:$E$22,Pay_scale!$B$5:$H$23,7,FALSE)</f>
        <v>809100</v>
      </c>
      <c r="G4" s="133">
        <f>F4/12</f>
        <v>67425</v>
      </c>
      <c r="H4" s="133">
        <f>G4/$H$1</f>
        <v>337.125</v>
      </c>
      <c r="I4" s="133">
        <f>H4/$I$1</f>
        <v>5.6187500000000004</v>
      </c>
      <c r="P4" s="82">
        <f>D4*F4</f>
        <v>0</v>
      </c>
      <c r="Q4" s="84" t="str">
        <f>C4</f>
        <v>Medical Officer</v>
      </c>
      <c r="T4" s="61" t="s">
        <v>656</v>
      </c>
      <c r="V4" s="84" t="str">
        <f>C4</f>
        <v>Medical Officer</v>
      </c>
      <c r="W4" s="61">
        <f>D4*F4</f>
        <v>0</v>
      </c>
      <c r="X4" s="61">
        <f>D4*G4</f>
        <v>0</v>
      </c>
    </row>
    <row r="5" spans="3:24" hidden="1" x14ac:dyDescent="0.25">
      <c r="C5" s="134" t="s">
        <v>246</v>
      </c>
      <c r="D5" s="132">
        <v>0</v>
      </c>
      <c r="E5" s="132">
        <v>16</v>
      </c>
      <c r="F5" s="133">
        <f>VLOOKUP($E$4:$E$22,Pay_scale!$B$5:$H$23,7,FALSE)</f>
        <v>690804</v>
      </c>
      <c r="G5" s="133">
        <f t="shared" ref="G5:G22" si="0">F5/12</f>
        <v>57567</v>
      </c>
      <c r="H5" s="133">
        <f t="shared" ref="H5:H22" si="1">G5/$H$1</f>
        <v>287.83499999999998</v>
      </c>
      <c r="I5" s="133">
        <f t="shared" ref="I5:I22" si="2">H5/$I$1</f>
        <v>4.79725</v>
      </c>
      <c r="P5" s="82">
        <f t="shared" ref="P5:P22" si="3">D5*F5</f>
        <v>0</v>
      </c>
      <c r="Q5" s="84" t="str">
        <f t="shared" ref="Q5:Q27" si="4">C5</f>
        <v>Nurse</v>
      </c>
      <c r="T5" s="61" t="s">
        <v>656</v>
      </c>
      <c r="V5" s="84" t="str">
        <f t="shared" ref="V5:V27" si="5">C5</f>
        <v>Nurse</v>
      </c>
      <c r="W5" s="82">
        <f t="shared" ref="W5:W27" si="6">D5*F5</f>
        <v>0</v>
      </c>
      <c r="X5" s="61">
        <f t="shared" ref="X5:X27" si="7">D5*G5</f>
        <v>0</v>
      </c>
    </row>
    <row r="6" spans="3:24" x14ac:dyDescent="0.25">
      <c r="C6" s="131" t="s">
        <v>678</v>
      </c>
      <c r="D6" s="132">
        <v>1</v>
      </c>
      <c r="E6" s="132"/>
      <c r="F6" s="133">
        <f>3000*12</f>
        <v>36000</v>
      </c>
      <c r="G6" s="133">
        <f t="shared" si="0"/>
        <v>3000</v>
      </c>
      <c r="H6" s="133">
        <f t="shared" si="1"/>
        <v>15</v>
      </c>
      <c r="I6" s="133">
        <f t="shared" si="2"/>
        <v>0.25</v>
      </c>
      <c r="P6" s="61">
        <f t="shared" si="3"/>
        <v>36000</v>
      </c>
      <c r="Q6" s="84" t="str">
        <f t="shared" si="4"/>
        <v>CMW</v>
      </c>
      <c r="T6" s="61" t="s">
        <v>656</v>
      </c>
      <c r="V6" s="84" t="str">
        <f t="shared" si="5"/>
        <v>CMW</v>
      </c>
      <c r="W6" s="61">
        <f t="shared" si="6"/>
        <v>36000</v>
      </c>
      <c r="X6" s="61">
        <f t="shared" si="7"/>
        <v>3000</v>
      </c>
    </row>
    <row r="7" spans="3:24" hidden="1" x14ac:dyDescent="0.25">
      <c r="C7" s="131" t="s">
        <v>675</v>
      </c>
      <c r="D7" s="132">
        <v>0</v>
      </c>
      <c r="E7" s="132">
        <v>17</v>
      </c>
      <c r="F7" s="133">
        <f>VLOOKUP($E$4:$E$22,Pay_scale!$B$5:$H$23,7,FALSE)</f>
        <v>809100</v>
      </c>
      <c r="G7" s="133">
        <f t="shared" si="0"/>
        <v>67425</v>
      </c>
      <c r="H7" s="133">
        <f t="shared" si="1"/>
        <v>337.125</v>
      </c>
      <c r="I7" s="133">
        <f t="shared" si="2"/>
        <v>5.6187500000000004</v>
      </c>
      <c r="P7" s="61">
        <f t="shared" si="3"/>
        <v>0</v>
      </c>
      <c r="Q7" s="84" t="str">
        <f t="shared" si="4"/>
        <v>School Health and Nutrition Supervisor</v>
      </c>
      <c r="T7" s="61" t="s">
        <v>171</v>
      </c>
      <c r="V7" s="84" t="str">
        <f t="shared" si="5"/>
        <v>School Health and Nutrition Supervisor</v>
      </c>
      <c r="W7" s="61">
        <f t="shared" si="6"/>
        <v>0</v>
      </c>
      <c r="X7" s="61">
        <f t="shared" si="7"/>
        <v>0</v>
      </c>
    </row>
    <row r="8" spans="3:24" hidden="1" x14ac:dyDescent="0.25">
      <c r="C8" s="134" t="s">
        <v>240</v>
      </c>
      <c r="D8" s="132">
        <v>0</v>
      </c>
      <c r="E8" s="132">
        <v>14</v>
      </c>
      <c r="F8" s="133">
        <f>VLOOKUP($E$4:$E$22,Pay_scale!$B$5:$H$23,7,FALSE)</f>
        <v>513360</v>
      </c>
      <c r="G8" s="133">
        <f t="shared" si="0"/>
        <v>42780</v>
      </c>
      <c r="H8" s="133">
        <f t="shared" si="1"/>
        <v>213.9</v>
      </c>
      <c r="I8" s="133">
        <f t="shared" si="2"/>
        <v>3.5649999999999999</v>
      </c>
      <c r="P8" s="61">
        <f t="shared" si="3"/>
        <v>0</v>
      </c>
      <c r="Q8" s="84" t="str">
        <f t="shared" si="4"/>
        <v>Medical Technician (pharmacy + dressing)</v>
      </c>
      <c r="T8" s="61" t="s">
        <v>656</v>
      </c>
      <c r="V8" s="84" t="str">
        <f t="shared" si="5"/>
        <v>Medical Technician (pharmacy + dressing)</v>
      </c>
      <c r="W8" s="61">
        <f t="shared" si="6"/>
        <v>0</v>
      </c>
      <c r="X8" s="61">
        <f t="shared" si="7"/>
        <v>0</v>
      </c>
    </row>
    <row r="9" spans="3:24" hidden="1" x14ac:dyDescent="0.25">
      <c r="C9" s="134" t="s">
        <v>140</v>
      </c>
      <c r="D9" s="132">
        <v>0</v>
      </c>
      <c r="E9" s="132">
        <v>9</v>
      </c>
      <c r="F9" s="133">
        <f>VLOOKUP($E$4:$E$22,Pay_scale!$B$5:$H$23,7,FALSE)</f>
        <v>350145</v>
      </c>
      <c r="G9" s="133">
        <f t="shared" si="0"/>
        <v>29178.75</v>
      </c>
      <c r="H9" s="133">
        <f t="shared" si="1"/>
        <v>145.89375000000001</v>
      </c>
      <c r="I9" s="133">
        <f t="shared" si="2"/>
        <v>2.4315625000000001</v>
      </c>
      <c r="P9" s="61">
        <f t="shared" si="3"/>
        <v>0</v>
      </c>
      <c r="Q9" s="84" t="str">
        <f t="shared" si="4"/>
        <v>EPI Technician</v>
      </c>
      <c r="T9" s="61" t="s">
        <v>656</v>
      </c>
      <c r="V9" s="84" t="str">
        <f t="shared" si="5"/>
        <v>EPI Technician</v>
      </c>
      <c r="W9" s="61">
        <f t="shared" si="6"/>
        <v>0</v>
      </c>
      <c r="X9" s="61">
        <f t="shared" si="7"/>
        <v>0</v>
      </c>
    </row>
    <row r="10" spans="3:24" hidden="1" x14ac:dyDescent="0.25">
      <c r="C10" s="134" t="s">
        <v>132</v>
      </c>
      <c r="D10" s="132">
        <v>0</v>
      </c>
      <c r="E10" s="132">
        <v>9</v>
      </c>
      <c r="F10" s="133">
        <f>VLOOKUP($E$4:$E$22,Pay_scale!$B$5:$H$23,7,FALSE)</f>
        <v>350145</v>
      </c>
      <c r="G10" s="133">
        <f t="shared" si="0"/>
        <v>29178.75</v>
      </c>
      <c r="H10" s="133">
        <f t="shared" si="1"/>
        <v>145.89375000000001</v>
      </c>
      <c r="I10" s="133">
        <f t="shared" si="2"/>
        <v>2.4315625000000001</v>
      </c>
      <c r="P10" s="61">
        <f t="shared" si="3"/>
        <v>0</v>
      </c>
      <c r="Q10" s="84" t="str">
        <f t="shared" si="4"/>
        <v>Laboratory technician</v>
      </c>
      <c r="T10" s="61" t="s">
        <v>656</v>
      </c>
      <c r="V10" s="84" t="str">
        <f t="shared" si="5"/>
        <v>Laboratory technician</v>
      </c>
      <c r="W10" s="61">
        <f t="shared" si="6"/>
        <v>0</v>
      </c>
      <c r="X10" s="61">
        <f t="shared" si="7"/>
        <v>0</v>
      </c>
    </row>
    <row r="11" spans="3:24" hidden="1" x14ac:dyDescent="0.25">
      <c r="C11" s="134" t="s">
        <v>133</v>
      </c>
      <c r="D11" s="132">
        <v>0</v>
      </c>
      <c r="E11" s="132">
        <v>9</v>
      </c>
      <c r="F11" s="133">
        <f>VLOOKUP($E$4:$E$22,Pay_scale!$B$5:$H$23,7,FALSE)</f>
        <v>350145</v>
      </c>
      <c r="G11" s="133">
        <f t="shared" si="0"/>
        <v>29178.75</v>
      </c>
      <c r="H11" s="133">
        <f t="shared" si="1"/>
        <v>145.89375000000001</v>
      </c>
      <c r="I11" s="133">
        <f t="shared" si="2"/>
        <v>2.4315625000000001</v>
      </c>
      <c r="P11" s="61">
        <f t="shared" si="3"/>
        <v>0</v>
      </c>
      <c r="Q11" s="84" t="str">
        <f t="shared" si="4"/>
        <v>X Ray  technician</v>
      </c>
      <c r="T11" s="61" t="s">
        <v>656</v>
      </c>
      <c r="V11" s="84" t="str">
        <f t="shared" si="5"/>
        <v>X Ray  technician</v>
      </c>
      <c r="W11" s="61">
        <f t="shared" si="6"/>
        <v>0</v>
      </c>
      <c r="X11" s="61">
        <f t="shared" si="7"/>
        <v>0</v>
      </c>
    </row>
    <row r="12" spans="3:24" hidden="1" x14ac:dyDescent="0.25">
      <c r="C12" s="134" t="s">
        <v>134</v>
      </c>
      <c r="D12" s="132">
        <v>0</v>
      </c>
      <c r="E12" s="132">
        <v>15</v>
      </c>
      <c r="F12" s="133">
        <f>VLOOKUP($E$4:$E$22,Pay_scale!$B$5:$H$23,7,FALSE)</f>
        <v>565533</v>
      </c>
      <c r="G12" s="133">
        <f t="shared" si="0"/>
        <v>47127.75</v>
      </c>
      <c r="H12" s="133">
        <f t="shared" si="1"/>
        <v>235.63874999999999</v>
      </c>
      <c r="I12" s="133">
        <f t="shared" si="2"/>
        <v>3.9273124999999998</v>
      </c>
      <c r="K12" s="79"/>
      <c r="P12" s="61">
        <f t="shared" si="3"/>
        <v>0</v>
      </c>
      <c r="Q12" s="84" t="str">
        <f t="shared" si="4"/>
        <v>Optician</v>
      </c>
      <c r="T12" s="61" t="s">
        <v>171</v>
      </c>
      <c r="V12" s="84" t="str">
        <f t="shared" si="5"/>
        <v>Optician</v>
      </c>
      <c r="W12" s="61">
        <f t="shared" si="6"/>
        <v>0</v>
      </c>
      <c r="X12" s="61">
        <f t="shared" si="7"/>
        <v>0</v>
      </c>
    </row>
    <row r="13" spans="3:24" hidden="1" x14ac:dyDescent="0.25">
      <c r="C13" s="134" t="s">
        <v>241</v>
      </c>
      <c r="D13" s="132">
        <v>0</v>
      </c>
      <c r="E13" s="132">
        <v>4</v>
      </c>
      <c r="F13" s="133">
        <f>VLOOKUP($E$4:$E$22,Pay_scale!$B$5:$H$23,7,FALSE)</f>
        <v>242823</v>
      </c>
      <c r="G13" s="133">
        <f t="shared" si="0"/>
        <v>20235.25</v>
      </c>
      <c r="H13" s="133">
        <f t="shared" si="1"/>
        <v>101.17625</v>
      </c>
      <c r="I13" s="133">
        <f t="shared" si="2"/>
        <v>1.6862708333333332</v>
      </c>
      <c r="P13" s="61">
        <f t="shared" si="3"/>
        <v>0</v>
      </c>
      <c r="Q13" s="84" t="str">
        <f t="shared" si="4"/>
        <v>Dai / midwife</v>
      </c>
      <c r="T13" s="61" t="s">
        <v>656</v>
      </c>
      <c r="V13" s="84" t="str">
        <f t="shared" si="5"/>
        <v>Dai / midwife</v>
      </c>
      <c r="W13" s="61">
        <f t="shared" si="6"/>
        <v>0</v>
      </c>
      <c r="X13" s="61">
        <f t="shared" si="7"/>
        <v>0</v>
      </c>
    </row>
    <row r="14" spans="3:24" hidden="1" x14ac:dyDescent="0.25">
      <c r="C14" s="134" t="s">
        <v>135</v>
      </c>
      <c r="D14" s="132">
        <v>0</v>
      </c>
      <c r="E14" s="132">
        <v>17</v>
      </c>
      <c r="F14" s="133">
        <f>VLOOKUP($E$4:$E$22,Pay_scale!$B$5:$H$23,7,FALSE)</f>
        <v>809100</v>
      </c>
      <c r="G14" s="133">
        <f t="shared" si="0"/>
        <v>67425</v>
      </c>
      <c r="H14" s="133">
        <f t="shared" si="1"/>
        <v>337.125</v>
      </c>
      <c r="I14" s="133">
        <f t="shared" si="2"/>
        <v>5.6187500000000004</v>
      </c>
      <c r="K14" s="79"/>
      <c r="P14" s="61">
        <f t="shared" si="3"/>
        <v>0</v>
      </c>
      <c r="Q14" s="84" t="str">
        <f t="shared" si="4"/>
        <v>Dental Surgeon</v>
      </c>
      <c r="T14" s="61" t="s">
        <v>171</v>
      </c>
      <c r="V14" s="84" t="str">
        <f t="shared" si="5"/>
        <v>Dental Surgeon</v>
      </c>
      <c r="W14" s="61">
        <f t="shared" si="6"/>
        <v>0</v>
      </c>
      <c r="X14" s="61">
        <f t="shared" si="7"/>
        <v>0</v>
      </c>
    </row>
    <row r="15" spans="3:24" hidden="1" x14ac:dyDescent="0.25">
      <c r="C15" s="134" t="s">
        <v>136</v>
      </c>
      <c r="D15" s="132">
        <v>0</v>
      </c>
      <c r="E15" s="132">
        <v>9</v>
      </c>
      <c r="F15" s="133">
        <f>VLOOKUP($E$4:$E$22,Pay_scale!$B$5:$H$23,7,FALSE)</f>
        <v>350145</v>
      </c>
      <c r="G15" s="133">
        <f t="shared" si="0"/>
        <v>29178.75</v>
      </c>
      <c r="H15" s="133">
        <f t="shared" si="1"/>
        <v>145.89375000000001</v>
      </c>
      <c r="I15" s="133">
        <f t="shared" si="2"/>
        <v>2.4315625000000001</v>
      </c>
      <c r="K15" s="79"/>
      <c r="P15" s="61">
        <f t="shared" si="3"/>
        <v>0</v>
      </c>
      <c r="Q15" s="84" t="str">
        <f t="shared" si="4"/>
        <v>Dental technicians</v>
      </c>
      <c r="T15" s="61" t="s">
        <v>171</v>
      </c>
      <c r="V15" s="84" t="str">
        <f t="shared" si="5"/>
        <v>Dental technicians</v>
      </c>
      <c r="W15" s="61">
        <f t="shared" si="6"/>
        <v>0</v>
      </c>
      <c r="X15" s="61">
        <f t="shared" si="7"/>
        <v>0</v>
      </c>
    </row>
    <row r="16" spans="3:24" hidden="1" x14ac:dyDescent="0.25">
      <c r="C16" s="134" t="s">
        <v>247</v>
      </c>
      <c r="D16" s="132">
        <v>0</v>
      </c>
      <c r="E16" s="132">
        <v>8</v>
      </c>
      <c r="F16" s="133">
        <f>VLOOKUP($E$4:$E$22,Pay_scale!$B$5:$H$23,7,FALSE)</f>
        <v>329220</v>
      </c>
      <c r="G16" s="133">
        <f t="shared" si="0"/>
        <v>27435</v>
      </c>
      <c r="H16" s="133">
        <f t="shared" si="1"/>
        <v>137.17500000000001</v>
      </c>
      <c r="I16" s="133">
        <f t="shared" si="2"/>
        <v>2.2862500000000003</v>
      </c>
      <c r="K16" s="79">
        <f>F16</f>
        <v>329220</v>
      </c>
      <c r="L16" s="79">
        <f>12*D16</f>
        <v>0</v>
      </c>
      <c r="M16" s="79">
        <f>L16*200</f>
        <v>0</v>
      </c>
      <c r="N16" s="79">
        <f>M16*60</f>
        <v>0</v>
      </c>
      <c r="P16" s="61">
        <f t="shared" si="3"/>
        <v>0</v>
      </c>
      <c r="Q16" s="84" t="str">
        <f t="shared" si="4"/>
        <v>Computer Operator</v>
      </c>
      <c r="T16" s="61" t="s">
        <v>171</v>
      </c>
      <c r="V16" s="84" t="str">
        <f t="shared" si="5"/>
        <v>Computer Operator</v>
      </c>
      <c r="W16" s="61">
        <f t="shared" si="6"/>
        <v>0</v>
      </c>
      <c r="X16" s="61">
        <f t="shared" si="7"/>
        <v>0</v>
      </c>
    </row>
    <row r="17" spans="3:24" hidden="1" x14ac:dyDescent="0.25">
      <c r="C17" s="134" t="s">
        <v>242</v>
      </c>
      <c r="D17" s="132">
        <v>0</v>
      </c>
      <c r="E17" s="132">
        <v>4</v>
      </c>
      <c r="F17" s="133">
        <f>VLOOKUP($E$4:$E$22,Pay_scale!$B$5:$H$23,7,FALSE)</f>
        <v>242823</v>
      </c>
      <c r="G17" s="133">
        <f t="shared" si="0"/>
        <v>20235.25</v>
      </c>
      <c r="H17" s="133">
        <f t="shared" si="1"/>
        <v>101.17625</v>
      </c>
      <c r="I17" s="133">
        <f t="shared" si="2"/>
        <v>1.6862708333333332</v>
      </c>
      <c r="K17" s="79">
        <f t="shared" ref="K17:K22" si="8">F17</f>
        <v>242823</v>
      </c>
      <c r="L17" s="79">
        <f t="shared" ref="L17:L23" si="9">12*D17</f>
        <v>0</v>
      </c>
      <c r="M17" s="79">
        <f t="shared" ref="M17:M23" si="10">L17*200</f>
        <v>0</v>
      </c>
      <c r="N17" s="79">
        <f t="shared" ref="N17:N23" si="11">M17*60</f>
        <v>0</v>
      </c>
      <c r="P17" s="61">
        <f t="shared" si="3"/>
        <v>0</v>
      </c>
      <c r="Q17" s="84" t="str">
        <f t="shared" si="4"/>
        <v>Ambulance driver</v>
      </c>
      <c r="T17" s="61" t="s">
        <v>171</v>
      </c>
      <c r="V17" s="84" t="str">
        <f t="shared" si="5"/>
        <v>Ambulance driver</v>
      </c>
      <c r="W17" s="61">
        <f t="shared" si="6"/>
        <v>0</v>
      </c>
      <c r="X17" s="61">
        <f t="shared" si="7"/>
        <v>0</v>
      </c>
    </row>
    <row r="18" spans="3:24" hidden="1" x14ac:dyDescent="0.25">
      <c r="C18" s="134" t="s">
        <v>676</v>
      </c>
      <c r="D18" s="132">
        <v>0</v>
      </c>
      <c r="E18" s="132">
        <v>1</v>
      </c>
      <c r="F18" s="133">
        <f>VLOOKUP($E$4:$E$22,Pay_scale!$B$5:$H$23,7,FALSE)</f>
        <v>169260</v>
      </c>
      <c r="G18" s="133">
        <f t="shared" si="0"/>
        <v>14105</v>
      </c>
      <c r="H18" s="133">
        <f t="shared" si="1"/>
        <v>70.525000000000006</v>
      </c>
      <c r="I18" s="133">
        <f t="shared" si="2"/>
        <v>1.1754166666666668</v>
      </c>
      <c r="K18" s="79">
        <f t="shared" si="8"/>
        <v>169260</v>
      </c>
      <c r="L18" s="79">
        <f t="shared" si="9"/>
        <v>0</v>
      </c>
      <c r="M18" s="79">
        <f t="shared" si="10"/>
        <v>0</v>
      </c>
      <c r="N18" s="79">
        <f t="shared" si="11"/>
        <v>0</v>
      </c>
      <c r="P18" s="61">
        <f t="shared" si="3"/>
        <v>0</v>
      </c>
      <c r="Q18" s="84" t="str">
        <f t="shared" si="4"/>
        <v>Naib Qasid</v>
      </c>
      <c r="T18" s="61" t="s">
        <v>171</v>
      </c>
      <c r="V18" s="84" t="str">
        <f t="shared" si="5"/>
        <v>Naib Qasid</v>
      </c>
      <c r="W18" s="61">
        <f t="shared" si="6"/>
        <v>0</v>
      </c>
      <c r="X18" s="61">
        <f t="shared" si="7"/>
        <v>0</v>
      </c>
    </row>
    <row r="19" spans="3:24" hidden="1" x14ac:dyDescent="0.25">
      <c r="C19" s="134" t="s">
        <v>243</v>
      </c>
      <c r="D19" s="132">
        <v>0</v>
      </c>
      <c r="E19" s="132">
        <v>1</v>
      </c>
      <c r="F19" s="133">
        <f>VLOOKUP($E$4:$E$22,Pay_scale!$B$5:$H$23,7,FALSE)</f>
        <v>169260</v>
      </c>
      <c r="G19" s="133">
        <f t="shared" si="0"/>
        <v>14105</v>
      </c>
      <c r="H19" s="133">
        <f t="shared" si="1"/>
        <v>70.525000000000006</v>
      </c>
      <c r="I19" s="133">
        <f t="shared" si="2"/>
        <v>1.1754166666666668</v>
      </c>
      <c r="K19" s="79">
        <f t="shared" si="8"/>
        <v>169260</v>
      </c>
      <c r="L19" s="79">
        <f t="shared" si="9"/>
        <v>0</v>
      </c>
      <c r="M19" s="79">
        <f t="shared" si="10"/>
        <v>0</v>
      </c>
      <c r="N19" s="79">
        <f t="shared" si="11"/>
        <v>0</v>
      </c>
      <c r="P19" s="61">
        <f t="shared" si="3"/>
        <v>0</v>
      </c>
      <c r="Q19" s="84" t="str">
        <f t="shared" si="4"/>
        <v>Sweeper</v>
      </c>
      <c r="T19" s="61" t="s">
        <v>171</v>
      </c>
      <c r="V19" s="84" t="str">
        <f t="shared" si="5"/>
        <v>Sweeper</v>
      </c>
      <c r="W19" s="61">
        <f t="shared" si="6"/>
        <v>0</v>
      </c>
      <c r="X19" s="61">
        <f t="shared" si="7"/>
        <v>0</v>
      </c>
    </row>
    <row r="20" spans="3:24" hidden="1" x14ac:dyDescent="0.25">
      <c r="C20" s="134" t="s">
        <v>244</v>
      </c>
      <c r="D20" s="132">
        <v>0</v>
      </c>
      <c r="E20" s="132">
        <v>1</v>
      </c>
      <c r="F20" s="133">
        <f>VLOOKUP($E$4:$E$22,Pay_scale!$B$5:$H$23,7,FALSE)</f>
        <v>169260</v>
      </c>
      <c r="G20" s="133">
        <f t="shared" si="0"/>
        <v>14105</v>
      </c>
      <c r="H20" s="133">
        <f t="shared" si="1"/>
        <v>70.525000000000006</v>
      </c>
      <c r="I20" s="133">
        <f t="shared" si="2"/>
        <v>1.1754166666666668</v>
      </c>
      <c r="K20" s="79">
        <f t="shared" si="8"/>
        <v>169260</v>
      </c>
      <c r="L20" s="79">
        <f t="shared" si="9"/>
        <v>0</v>
      </c>
      <c r="M20" s="79">
        <f t="shared" si="10"/>
        <v>0</v>
      </c>
      <c r="N20" s="79">
        <f t="shared" si="11"/>
        <v>0</v>
      </c>
      <c r="P20" s="61">
        <f t="shared" si="3"/>
        <v>0</v>
      </c>
      <c r="Q20" s="84" t="str">
        <f t="shared" si="4"/>
        <v>Gardner</v>
      </c>
      <c r="T20" s="61" t="s">
        <v>171</v>
      </c>
      <c r="V20" s="84" t="str">
        <f t="shared" si="5"/>
        <v>Gardner</v>
      </c>
      <c r="W20" s="61">
        <f t="shared" si="6"/>
        <v>0</v>
      </c>
      <c r="X20" s="61">
        <f t="shared" si="7"/>
        <v>0</v>
      </c>
    </row>
    <row r="21" spans="3:24" hidden="1" x14ac:dyDescent="0.25">
      <c r="C21" s="134" t="s">
        <v>245</v>
      </c>
      <c r="D21" s="132">
        <v>0</v>
      </c>
      <c r="E21" s="132">
        <v>1</v>
      </c>
      <c r="F21" s="133">
        <f>VLOOKUP($E$4:$E$22,Pay_scale!$B$5:$H$23,7,FALSE)</f>
        <v>169260</v>
      </c>
      <c r="G21" s="133">
        <f t="shared" si="0"/>
        <v>14105</v>
      </c>
      <c r="H21" s="133">
        <f t="shared" si="1"/>
        <v>70.525000000000006</v>
      </c>
      <c r="I21" s="133">
        <f t="shared" si="2"/>
        <v>1.1754166666666668</v>
      </c>
      <c r="K21" s="79">
        <f t="shared" si="8"/>
        <v>169260</v>
      </c>
      <c r="L21" s="79">
        <f t="shared" si="9"/>
        <v>0</v>
      </c>
      <c r="M21" s="79">
        <f t="shared" si="10"/>
        <v>0</v>
      </c>
      <c r="N21" s="79">
        <f t="shared" si="11"/>
        <v>0</v>
      </c>
      <c r="P21" s="61">
        <f t="shared" si="3"/>
        <v>0</v>
      </c>
      <c r="Q21" s="84" t="str">
        <f t="shared" si="4"/>
        <v>Guard</v>
      </c>
      <c r="T21" s="61" t="s">
        <v>171</v>
      </c>
      <c r="V21" s="84" t="str">
        <f t="shared" si="5"/>
        <v>Guard</v>
      </c>
      <c r="W21" s="61">
        <f t="shared" si="6"/>
        <v>0</v>
      </c>
      <c r="X21" s="61">
        <f t="shared" si="7"/>
        <v>0</v>
      </c>
    </row>
    <row r="22" spans="3:24" hidden="1" x14ac:dyDescent="0.25">
      <c r="C22" s="134" t="s">
        <v>677</v>
      </c>
      <c r="D22" s="132">
        <v>0</v>
      </c>
      <c r="E22" s="132">
        <v>1</v>
      </c>
      <c r="F22" s="133">
        <f>VLOOKUP($E$4:$E$22,Pay_scale!$B$5:$H$23,7,FALSE)</f>
        <v>169260</v>
      </c>
      <c r="G22" s="133">
        <f t="shared" si="0"/>
        <v>14105</v>
      </c>
      <c r="H22" s="133">
        <f t="shared" si="1"/>
        <v>70.525000000000006</v>
      </c>
      <c r="I22" s="133">
        <f t="shared" si="2"/>
        <v>1.1754166666666668</v>
      </c>
      <c r="K22" s="79">
        <f t="shared" si="8"/>
        <v>169260</v>
      </c>
      <c r="L22" s="79">
        <f t="shared" si="9"/>
        <v>0</v>
      </c>
      <c r="M22" s="79">
        <f t="shared" si="10"/>
        <v>0</v>
      </c>
      <c r="N22" s="79">
        <f t="shared" si="11"/>
        <v>0</v>
      </c>
      <c r="P22" s="61">
        <f t="shared" si="3"/>
        <v>0</v>
      </c>
      <c r="Q22" s="84" t="str">
        <f t="shared" si="4"/>
        <v>Aya</v>
      </c>
      <c r="T22" s="61" t="s">
        <v>171</v>
      </c>
      <c r="V22" s="84" t="str">
        <f t="shared" si="5"/>
        <v>Aya</v>
      </c>
      <c r="W22" s="61">
        <f t="shared" si="6"/>
        <v>0</v>
      </c>
      <c r="X22" s="61">
        <f t="shared" si="7"/>
        <v>0</v>
      </c>
    </row>
    <row r="23" spans="3:24" hidden="1" x14ac:dyDescent="0.25">
      <c r="C23" s="131" t="s">
        <v>651</v>
      </c>
      <c r="D23" s="132">
        <v>0</v>
      </c>
      <c r="E23" s="132">
        <v>7</v>
      </c>
      <c r="F23" s="133">
        <f>VLOOKUP($E$4:$E$27,Pay_scale!$B$5:$H$23,7,FALSE)</f>
        <v>305598</v>
      </c>
      <c r="G23" s="133">
        <f t="shared" ref="G23:G27" si="12">F23/12</f>
        <v>25466.5</v>
      </c>
      <c r="H23" s="133">
        <f t="shared" ref="H23:H27" si="13">G23/$H$1</f>
        <v>127.3325</v>
      </c>
      <c r="I23" s="133">
        <f t="shared" ref="I23:I27" si="14">H23/$I$1</f>
        <v>2.1222083333333335</v>
      </c>
      <c r="K23" s="79"/>
      <c r="L23" s="79">
        <f t="shared" si="9"/>
        <v>0</v>
      </c>
      <c r="M23" s="79">
        <f t="shared" si="10"/>
        <v>0</v>
      </c>
      <c r="N23" s="79">
        <f t="shared" si="11"/>
        <v>0</v>
      </c>
      <c r="Q23" s="84" t="str">
        <f t="shared" si="4"/>
        <v>Senior Clark</v>
      </c>
      <c r="T23" s="61" t="s">
        <v>171</v>
      </c>
      <c r="V23" s="84" t="str">
        <f t="shared" si="5"/>
        <v>Senior Clark</v>
      </c>
      <c r="W23" s="61">
        <f t="shared" si="6"/>
        <v>0</v>
      </c>
      <c r="X23" s="61">
        <f t="shared" si="7"/>
        <v>0</v>
      </c>
    </row>
    <row r="24" spans="3:24" hidden="1" x14ac:dyDescent="0.25">
      <c r="C24" s="131" t="s">
        <v>652</v>
      </c>
      <c r="D24" s="132">
        <v>0</v>
      </c>
      <c r="E24" s="132">
        <v>5</v>
      </c>
      <c r="F24" s="133">
        <f>VLOOKUP($E$4:$E$27,Pay_scale!$B$5:$H$23,7,FALSE)</f>
        <v>263748</v>
      </c>
      <c r="G24" s="133">
        <f t="shared" si="12"/>
        <v>21979</v>
      </c>
      <c r="H24" s="133">
        <f t="shared" si="13"/>
        <v>109.895</v>
      </c>
      <c r="I24" s="133">
        <f t="shared" si="14"/>
        <v>1.8315833333333333</v>
      </c>
      <c r="K24" s="79"/>
      <c r="L24" s="79"/>
      <c r="M24" s="79"/>
      <c r="N24" s="79"/>
      <c r="Q24" s="84" t="str">
        <f t="shared" si="4"/>
        <v>Store keeper</v>
      </c>
      <c r="T24" s="61" t="s">
        <v>171</v>
      </c>
      <c r="V24" s="84" t="str">
        <f t="shared" si="5"/>
        <v>Store keeper</v>
      </c>
      <c r="W24" s="61">
        <f t="shared" si="6"/>
        <v>0</v>
      </c>
      <c r="X24" s="61">
        <f t="shared" si="7"/>
        <v>0</v>
      </c>
    </row>
    <row r="25" spans="3:24" hidden="1" x14ac:dyDescent="0.25">
      <c r="C25" s="131" t="s">
        <v>653</v>
      </c>
      <c r="D25" s="132">
        <v>0</v>
      </c>
      <c r="E25" s="132">
        <v>1</v>
      </c>
      <c r="F25" s="133">
        <f>VLOOKUP($E$4:$E$27,Pay_scale!$B$5:$H$23,7,FALSE)</f>
        <v>169260</v>
      </c>
      <c r="G25" s="133">
        <f t="shared" si="12"/>
        <v>14105</v>
      </c>
      <c r="H25" s="133">
        <f t="shared" si="13"/>
        <v>70.525000000000006</v>
      </c>
      <c r="I25" s="133">
        <f t="shared" si="14"/>
        <v>1.1754166666666668</v>
      </c>
      <c r="K25" s="79"/>
      <c r="L25" s="79"/>
      <c r="M25" s="79"/>
      <c r="N25" s="79"/>
      <c r="Q25" s="84" t="str">
        <f t="shared" si="4"/>
        <v>Ward servant</v>
      </c>
      <c r="T25" s="61" t="s">
        <v>171</v>
      </c>
      <c r="V25" s="84" t="str">
        <f t="shared" si="5"/>
        <v>Ward servant</v>
      </c>
      <c r="W25" s="61">
        <f t="shared" si="6"/>
        <v>0</v>
      </c>
      <c r="X25" s="61">
        <f t="shared" si="7"/>
        <v>0</v>
      </c>
    </row>
    <row r="26" spans="3:24" hidden="1" x14ac:dyDescent="0.25">
      <c r="C26" s="131" t="s">
        <v>654</v>
      </c>
      <c r="D26" s="132">
        <v>0</v>
      </c>
      <c r="E26" s="132">
        <v>11</v>
      </c>
      <c r="F26" s="133">
        <f>VLOOKUP($E$4:$E$27,Pay_scale!$B$5:$H$23,7,FALSE)</f>
        <v>400086</v>
      </c>
      <c r="G26" s="133">
        <f t="shared" si="12"/>
        <v>33340.5</v>
      </c>
      <c r="H26" s="133">
        <f t="shared" si="13"/>
        <v>166.70249999999999</v>
      </c>
      <c r="I26" s="133">
        <f t="shared" si="14"/>
        <v>2.7783749999999996</v>
      </c>
      <c r="K26" s="79"/>
      <c r="L26" s="79"/>
      <c r="M26" s="79"/>
      <c r="N26" s="79"/>
      <c r="Q26" s="84" t="str">
        <f t="shared" si="4"/>
        <v>Accountant</v>
      </c>
      <c r="T26" s="61" t="s">
        <v>171</v>
      </c>
      <c r="V26" s="84" t="str">
        <f t="shared" si="5"/>
        <v>Accountant</v>
      </c>
      <c r="W26" s="61">
        <f t="shared" si="6"/>
        <v>0</v>
      </c>
      <c r="X26" s="61">
        <f t="shared" si="7"/>
        <v>0</v>
      </c>
    </row>
    <row r="27" spans="3:24" hidden="1" x14ac:dyDescent="0.25">
      <c r="C27" s="131" t="s">
        <v>655</v>
      </c>
      <c r="D27" s="132">
        <v>0</v>
      </c>
      <c r="E27" s="132">
        <v>9</v>
      </c>
      <c r="F27" s="133">
        <f>VLOOKUP($E$4:$E$27,Pay_scale!$B$5:$H$23,7,FALSE)</f>
        <v>350145</v>
      </c>
      <c r="G27" s="133">
        <f t="shared" si="12"/>
        <v>29178.75</v>
      </c>
      <c r="H27" s="133">
        <f t="shared" si="13"/>
        <v>145.89375000000001</v>
      </c>
      <c r="I27" s="133">
        <f t="shared" si="14"/>
        <v>2.4315625000000001</v>
      </c>
      <c r="K27" s="79"/>
      <c r="L27" s="79"/>
      <c r="M27" s="79"/>
      <c r="N27" s="79"/>
      <c r="Q27" s="84" t="str">
        <f t="shared" si="4"/>
        <v>OT assistant</v>
      </c>
      <c r="T27" s="61" t="s">
        <v>171</v>
      </c>
      <c r="V27" s="84" t="str">
        <f t="shared" si="5"/>
        <v>OT assistant</v>
      </c>
      <c r="W27" s="61">
        <f t="shared" si="6"/>
        <v>0</v>
      </c>
      <c r="X27" s="61">
        <f t="shared" si="7"/>
        <v>0</v>
      </c>
    </row>
    <row r="28" spans="3:24" x14ac:dyDescent="0.25">
      <c r="C28" s="130"/>
      <c r="D28" s="130"/>
      <c r="E28" s="130"/>
      <c r="F28" s="130"/>
      <c r="G28" s="130"/>
      <c r="H28" s="130"/>
      <c r="I28" s="130"/>
      <c r="N28" s="79">
        <f>SUM(N16:N23)</f>
        <v>0</v>
      </c>
      <c r="P28" s="61">
        <f>SUM(P4:P22)</f>
        <v>36000</v>
      </c>
      <c r="V28" s="84"/>
    </row>
    <row r="30" spans="3:24" x14ac:dyDescent="0.25">
      <c r="C30" s="232" t="s">
        <v>564</v>
      </c>
      <c r="D30" s="232"/>
      <c r="E30" s="232"/>
      <c r="F30" s="135">
        <f>SUMIF(T4:T27,"I",W4:W27)</f>
        <v>0</v>
      </c>
      <c r="G30" s="135">
        <f>F30/12</f>
        <v>0</v>
      </c>
      <c r="H30" s="135">
        <f>G30/200</f>
        <v>0</v>
      </c>
      <c r="I30" s="135">
        <f>H30/60</f>
        <v>0</v>
      </c>
    </row>
    <row r="31" spans="3:24" x14ac:dyDescent="0.25">
      <c r="C31" s="232" t="s">
        <v>566</v>
      </c>
      <c r="D31" s="232"/>
      <c r="E31" s="232"/>
      <c r="F31" s="136">
        <f>SUMIF(T4:T27,"d",W4:W27)</f>
        <v>36000</v>
      </c>
      <c r="G31" s="135">
        <f>F31/12</f>
        <v>3000</v>
      </c>
      <c r="H31" s="135">
        <f>G31/200</f>
        <v>15</v>
      </c>
      <c r="I31" s="135">
        <f>H31/60</f>
        <v>0.25</v>
      </c>
    </row>
    <row r="32" spans="3:24" x14ac:dyDescent="0.25">
      <c r="C32" s="232" t="s">
        <v>567</v>
      </c>
      <c r="D32" s="232"/>
      <c r="E32" s="232"/>
      <c r="F32" s="138">
        <f>F30/F31</f>
        <v>0</v>
      </c>
      <c r="G32" s="137"/>
      <c r="H32" s="137"/>
      <c r="I32" s="137"/>
    </row>
    <row r="33" spans="6:6" x14ac:dyDescent="0.25">
      <c r="F33" s="79"/>
    </row>
    <row r="34" spans="6:6" x14ac:dyDescent="0.25">
      <c r="F34" s="108">
        <f>P28</f>
        <v>36000</v>
      </c>
    </row>
  </sheetData>
  <sheetProtection sheet="1" objects="1" scenarios="1"/>
  <mergeCells count="8">
    <mergeCell ref="C30:E30"/>
    <mergeCell ref="C31:E31"/>
    <mergeCell ref="C32:E32"/>
    <mergeCell ref="C2:C3"/>
    <mergeCell ref="V2:V3"/>
    <mergeCell ref="F2:I2"/>
    <mergeCell ref="E2:E3"/>
    <mergeCell ref="D2:D3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AD28"/>
  <sheetViews>
    <sheetView showGridLines="0" zoomScaleNormal="100" workbookViewId="0">
      <selection activeCell="D29" sqref="D29"/>
    </sheetView>
  </sheetViews>
  <sheetFormatPr defaultRowHeight="15" x14ac:dyDescent="0.25"/>
  <cols>
    <col min="2" max="2" width="4.28515625" bestFit="1" customWidth="1"/>
    <col min="3" max="3" width="9.5703125" bestFit="1" customWidth="1"/>
    <col min="4" max="4" width="10.5703125" bestFit="1" customWidth="1"/>
    <col min="5" max="5" width="12" bestFit="1" customWidth="1"/>
    <col min="6" max="6" width="11.28515625" bestFit="1" customWidth="1"/>
    <col min="7" max="7" width="10.5703125" bestFit="1" customWidth="1"/>
    <col min="8" max="8" width="12.140625" bestFit="1" customWidth="1"/>
    <col min="16" max="17" width="0" hidden="1" customWidth="1"/>
  </cols>
  <sheetData>
    <row r="2" spans="2:30" x14ac:dyDescent="0.25">
      <c r="B2" s="236" t="s">
        <v>239</v>
      </c>
      <c r="C2" s="236"/>
      <c r="D2" s="236"/>
      <c r="E2" s="236"/>
      <c r="F2" s="236"/>
      <c r="G2" s="236"/>
      <c r="H2" s="236"/>
    </row>
    <row r="3" spans="2:30" x14ac:dyDescent="0.25">
      <c r="B3" s="239" t="s">
        <v>228</v>
      </c>
      <c r="C3" s="239" t="s">
        <v>230</v>
      </c>
      <c r="D3" s="239" t="s">
        <v>231</v>
      </c>
      <c r="E3" s="239" t="s">
        <v>232</v>
      </c>
      <c r="F3" s="160">
        <v>0.55000000000000004</v>
      </c>
      <c r="G3" s="237" t="s">
        <v>233</v>
      </c>
      <c r="H3" s="238"/>
      <c r="I3" s="13"/>
      <c r="J3" s="13"/>
      <c r="K3" s="13"/>
      <c r="L3" s="13"/>
      <c r="M3" s="13"/>
      <c r="N3" s="13"/>
      <c r="O3" s="13"/>
      <c r="P3" s="13" t="s">
        <v>234</v>
      </c>
      <c r="Q3" s="13" t="s">
        <v>229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x14ac:dyDescent="0.25">
      <c r="B4" s="240"/>
      <c r="C4" s="240"/>
      <c r="D4" s="240"/>
      <c r="E4" s="240"/>
      <c r="F4" s="161" t="s">
        <v>235</v>
      </c>
      <c r="G4" s="161" t="s">
        <v>236</v>
      </c>
      <c r="H4" s="161" t="s">
        <v>237</v>
      </c>
      <c r="I4" s="13"/>
      <c r="J4" s="13"/>
      <c r="K4" s="13"/>
      <c r="L4" s="13"/>
      <c r="M4" s="13"/>
      <c r="N4" s="13"/>
      <c r="O4" s="13"/>
      <c r="P4" s="13">
        <v>250</v>
      </c>
      <c r="Q4" s="13">
        <v>2475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238</v>
      </c>
    </row>
    <row r="5" spans="2:30" x14ac:dyDescent="0.25">
      <c r="B5" s="18">
        <v>1</v>
      </c>
      <c r="C5" s="14">
        <v>6600</v>
      </c>
      <c r="D5" s="14">
        <v>11600</v>
      </c>
      <c r="E5" s="14">
        <f>AVERAGE(C5:D5)</f>
        <v>9100</v>
      </c>
      <c r="F5" s="14">
        <f>E5*$F$3</f>
        <v>5005</v>
      </c>
      <c r="G5" s="14">
        <f>E5+F5</f>
        <v>14105</v>
      </c>
      <c r="H5" s="14">
        <f>G5*12</f>
        <v>169260</v>
      </c>
      <c r="I5" s="13"/>
      <c r="J5" s="13"/>
      <c r="K5" s="13"/>
      <c r="L5" s="13"/>
      <c r="M5" s="13"/>
      <c r="N5" s="13"/>
      <c r="O5" s="13"/>
      <c r="P5" s="13">
        <v>290</v>
      </c>
      <c r="Q5" s="13">
        <v>2535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 t="s">
        <v>238</v>
      </c>
    </row>
    <row r="6" spans="2:30" x14ac:dyDescent="0.25">
      <c r="B6" s="18">
        <v>2</v>
      </c>
      <c r="C6" s="14">
        <v>6800</v>
      </c>
      <c r="D6" s="14">
        <v>15210</v>
      </c>
      <c r="E6" s="14">
        <f t="shared" ref="E6:E23" si="0">AVERAGE(C6:D6)</f>
        <v>11005</v>
      </c>
      <c r="F6" s="14">
        <f t="shared" ref="F6:F23" si="1">E6*$F$3</f>
        <v>6052.7500000000009</v>
      </c>
      <c r="G6" s="14">
        <f t="shared" ref="G6:G23" si="2">E6+F6</f>
        <v>17057.75</v>
      </c>
      <c r="H6" s="14">
        <f t="shared" ref="H6:H23" si="3">G6*12</f>
        <v>204693</v>
      </c>
      <c r="I6" s="13"/>
      <c r="J6" s="13"/>
      <c r="K6" s="13"/>
      <c r="L6" s="13"/>
      <c r="M6" s="13"/>
      <c r="N6" s="13"/>
      <c r="O6" s="13"/>
      <c r="P6" s="13">
        <v>340</v>
      </c>
      <c r="Q6" s="13">
        <v>2625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238</v>
      </c>
    </row>
    <row r="7" spans="2:30" x14ac:dyDescent="0.25">
      <c r="B7" s="18">
        <v>3</v>
      </c>
      <c r="C7" s="14">
        <v>7100</v>
      </c>
      <c r="D7" s="14">
        <v>16960</v>
      </c>
      <c r="E7" s="14">
        <f t="shared" si="0"/>
        <v>12030</v>
      </c>
      <c r="F7" s="14">
        <f t="shared" si="1"/>
        <v>6616.5000000000009</v>
      </c>
      <c r="G7" s="14">
        <f t="shared" si="2"/>
        <v>18646.5</v>
      </c>
      <c r="H7" s="14">
        <f t="shared" si="3"/>
        <v>223758</v>
      </c>
      <c r="I7" s="13"/>
      <c r="J7" s="13"/>
      <c r="K7" s="13"/>
      <c r="L7" s="13"/>
      <c r="M7" s="13"/>
      <c r="N7" s="13"/>
      <c r="O7" s="13"/>
      <c r="P7" s="13">
        <v>390</v>
      </c>
      <c r="Q7" s="13">
        <v>2715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 t="s">
        <v>238</v>
      </c>
    </row>
    <row r="8" spans="2:30" x14ac:dyDescent="0.25">
      <c r="B8" s="18">
        <v>4</v>
      </c>
      <c r="C8" s="14">
        <v>7400</v>
      </c>
      <c r="D8" s="14">
        <v>18710</v>
      </c>
      <c r="E8" s="14">
        <f t="shared" si="0"/>
        <v>13055</v>
      </c>
      <c r="F8" s="14">
        <f t="shared" si="1"/>
        <v>7180.2500000000009</v>
      </c>
      <c r="G8" s="14">
        <f t="shared" si="2"/>
        <v>20235.25</v>
      </c>
      <c r="H8" s="14">
        <f t="shared" si="3"/>
        <v>242823</v>
      </c>
      <c r="I8" s="13"/>
      <c r="J8" s="13"/>
      <c r="K8" s="13"/>
      <c r="L8" s="13"/>
      <c r="M8" s="13"/>
      <c r="N8" s="13"/>
      <c r="O8" s="13"/>
      <c r="P8" s="13">
        <v>440</v>
      </c>
      <c r="Q8" s="13">
        <v>2830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 t="s">
        <v>238</v>
      </c>
    </row>
    <row r="9" spans="2:30" x14ac:dyDescent="0.25">
      <c r="B9" s="18">
        <v>5</v>
      </c>
      <c r="C9" s="14">
        <v>7800</v>
      </c>
      <c r="D9" s="14">
        <v>20560</v>
      </c>
      <c r="E9" s="14">
        <f t="shared" si="0"/>
        <v>14180</v>
      </c>
      <c r="F9" s="14">
        <f t="shared" si="1"/>
        <v>7799.0000000000009</v>
      </c>
      <c r="G9" s="14">
        <f t="shared" si="2"/>
        <v>21979</v>
      </c>
      <c r="H9" s="14">
        <f t="shared" si="3"/>
        <v>263748</v>
      </c>
      <c r="I9" s="13"/>
      <c r="J9" s="13"/>
      <c r="K9" s="13"/>
      <c r="L9" s="13"/>
      <c r="M9" s="13"/>
      <c r="N9" s="13"/>
      <c r="O9" s="13"/>
      <c r="P9" s="13">
        <v>490</v>
      </c>
      <c r="Q9" s="13">
        <v>2945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238</v>
      </c>
    </row>
    <row r="10" spans="2:30" x14ac:dyDescent="0.25">
      <c r="B10" s="18">
        <v>6</v>
      </c>
      <c r="C10" s="14">
        <v>8200</v>
      </c>
      <c r="D10" s="14">
        <v>22410</v>
      </c>
      <c r="E10" s="14">
        <f t="shared" si="0"/>
        <v>15305</v>
      </c>
      <c r="F10" s="14">
        <f t="shared" si="1"/>
        <v>8417.75</v>
      </c>
      <c r="G10" s="14">
        <f t="shared" si="2"/>
        <v>23722.75</v>
      </c>
      <c r="H10" s="14">
        <f t="shared" si="3"/>
        <v>284673</v>
      </c>
      <c r="I10" s="13"/>
      <c r="J10" s="13"/>
      <c r="K10" s="13"/>
      <c r="L10" s="13"/>
      <c r="M10" s="13"/>
      <c r="N10" s="13"/>
      <c r="O10" s="13"/>
      <c r="P10" s="13">
        <v>540</v>
      </c>
      <c r="Q10" s="13">
        <v>3060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238</v>
      </c>
    </row>
    <row r="11" spans="2:30" x14ac:dyDescent="0.25">
      <c r="B11" s="18">
        <v>7</v>
      </c>
      <c r="C11" s="14">
        <v>8600</v>
      </c>
      <c r="D11" s="14">
        <v>24260</v>
      </c>
      <c r="E11" s="14">
        <f t="shared" si="0"/>
        <v>16430</v>
      </c>
      <c r="F11" s="14">
        <f t="shared" si="1"/>
        <v>9036.5</v>
      </c>
      <c r="G11" s="14">
        <f t="shared" si="2"/>
        <v>25466.5</v>
      </c>
      <c r="H11" s="14">
        <f t="shared" si="3"/>
        <v>305598</v>
      </c>
      <c r="I11" s="13"/>
      <c r="J11" s="13"/>
      <c r="K11" s="13"/>
      <c r="L11" s="13"/>
      <c r="M11" s="13"/>
      <c r="N11" s="13"/>
      <c r="O11" s="13"/>
      <c r="P11" s="13">
        <v>600</v>
      </c>
      <c r="Q11" s="13">
        <v>3175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238</v>
      </c>
    </row>
    <row r="12" spans="2:30" x14ac:dyDescent="0.25">
      <c r="B12" s="18">
        <v>8</v>
      </c>
      <c r="C12" s="14">
        <v>9000</v>
      </c>
      <c r="D12" s="14">
        <v>26400</v>
      </c>
      <c r="E12" s="14">
        <f t="shared" si="0"/>
        <v>17700</v>
      </c>
      <c r="F12" s="14">
        <f t="shared" si="1"/>
        <v>9735</v>
      </c>
      <c r="G12" s="14">
        <f t="shared" si="2"/>
        <v>27435</v>
      </c>
      <c r="H12" s="14">
        <f t="shared" si="3"/>
        <v>329220</v>
      </c>
      <c r="I12" s="13"/>
      <c r="J12" s="13"/>
      <c r="K12" s="13"/>
      <c r="L12" s="13"/>
      <c r="M12" s="13"/>
      <c r="N12" s="13"/>
      <c r="O12" s="13"/>
      <c r="P12" s="13">
        <v>650</v>
      </c>
      <c r="Q12" s="13">
        <v>3290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238</v>
      </c>
    </row>
    <row r="13" spans="2:30" x14ac:dyDescent="0.25">
      <c r="B13" s="18">
        <v>9</v>
      </c>
      <c r="C13" s="14">
        <v>9400</v>
      </c>
      <c r="D13" s="14">
        <v>28250</v>
      </c>
      <c r="E13" s="14">
        <f t="shared" si="0"/>
        <v>18825</v>
      </c>
      <c r="F13" s="14">
        <f t="shared" si="1"/>
        <v>10353.75</v>
      </c>
      <c r="G13" s="14">
        <f t="shared" si="2"/>
        <v>29178.75</v>
      </c>
      <c r="H13" s="14">
        <f t="shared" si="3"/>
        <v>350145</v>
      </c>
      <c r="I13" s="13"/>
      <c r="J13" s="13"/>
      <c r="K13" s="13"/>
      <c r="L13" s="13"/>
      <c r="M13" s="13"/>
      <c r="N13" s="13"/>
      <c r="O13" s="13"/>
      <c r="P13" s="13">
        <v>720</v>
      </c>
      <c r="Q13" s="13">
        <v>3410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238</v>
      </c>
    </row>
    <row r="14" spans="2:30" x14ac:dyDescent="0.25">
      <c r="B14" s="18">
        <v>10</v>
      </c>
      <c r="C14" s="14">
        <v>9800</v>
      </c>
      <c r="D14" s="14">
        <v>30680</v>
      </c>
      <c r="E14" s="14">
        <f t="shared" si="0"/>
        <v>20240</v>
      </c>
      <c r="F14" s="14">
        <f t="shared" si="1"/>
        <v>11132</v>
      </c>
      <c r="G14" s="14">
        <f t="shared" si="2"/>
        <v>31372</v>
      </c>
      <c r="H14" s="14">
        <f t="shared" si="3"/>
        <v>376464</v>
      </c>
      <c r="I14" s="13"/>
      <c r="J14" s="13"/>
      <c r="K14" s="13"/>
      <c r="L14" s="13"/>
      <c r="M14" s="13"/>
      <c r="N14" s="13"/>
      <c r="O14" s="13"/>
      <c r="P14" s="13">
        <v>780</v>
      </c>
      <c r="Q14" s="13">
        <v>3530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 t="s">
        <v>238</v>
      </c>
    </row>
    <row r="15" spans="2:30" x14ac:dyDescent="0.25">
      <c r="B15" s="18">
        <v>11</v>
      </c>
      <c r="C15" s="14">
        <v>10200</v>
      </c>
      <c r="D15" s="14">
        <v>32820</v>
      </c>
      <c r="E15" s="14">
        <f t="shared" si="0"/>
        <v>21510</v>
      </c>
      <c r="F15" s="14">
        <f t="shared" si="1"/>
        <v>11830.500000000002</v>
      </c>
      <c r="G15" s="14">
        <f t="shared" si="2"/>
        <v>33340.5</v>
      </c>
      <c r="H15" s="14">
        <f t="shared" si="3"/>
        <v>400086</v>
      </c>
      <c r="I15" s="13"/>
      <c r="J15" s="13"/>
      <c r="K15" s="13"/>
      <c r="L15" s="13"/>
      <c r="M15" s="13"/>
      <c r="N15" s="13"/>
      <c r="O15" s="13"/>
      <c r="P15" s="13">
        <v>850</v>
      </c>
      <c r="Q15" s="13">
        <v>3750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 t="s">
        <v>238</v>
      </c>
    </row>
    <row r="16" spans="2:30" x14ac:dyDescent="0.25">
      <c r="B16" s="18">
        <v>12</v>
      </c>
      <c r="C16" s="14">
        <v>11000</v>
      </c>
      <c r="D16" s="14">
        <v>35650</v>
      </c>
      <c r="E16" s="14">
        <f t="shared" si="0"/>
        <v>23325</v>
      </c>
      <c r="F16" s="14">
        <f t="shared" si="1"/>
        <v>12828.750000000002</v>
      </c>
      <c r="G16" s="14">
        <f t="shared" si="2"/>
        <v>36153.75</v>
      </c>
      <c r="H16" s="14">
        <f t="shared" si="3"/>
        <v>433845</v>
      </c>
      <c r="I16" s="13"/>
      <c r="J16" s="13"/>
      <c r="K16" s="13"/>
      <c r="L16" s="13"/>
      <c r="M16" s="13"/>
      <c r="N16" s="13"/>
      <c r="O16" s="13"/>
      <c r="P16" s="13">
        <v>920</v>
      </c>
      <c r="Q16" s="13">
        <v>4025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 t="s">
        <v>238</v>
      </c>
    </row>
    <row r="17" spans="2:30" x14ac:dyDescent="0.25">
      <c r="B17" s="18">
        <v>13</v>
      </c>
      <c r="C17" s="14">
        <v>12000</v>
      </c>
      <c r="D17" s="14">
        <v>38680</v>
      </c>
      <c r="E17" s="14">
        <f t="shared" si="0"/>
        <v>25340</v>
      </c>
      <c r="F17" s="14">
        <f t="shared" si="1"/>
        <v>13937.000000000002</v>
      </c>
      <c r="G17" s="14">
        <f t="shared" si="2"/>
        <v>39277</v>
      </c>
      <c r="H17" s="14">
        <f t="shared" si="3"/>
        <v>471324</v>
      </c>
      <c r="I17" s="13"/>
      <c r="J17" s="13"/>
      <c r="K17" s="13"/>
      <c r="L17" s="13"/>
      <c r="M17" s="13"/>
      <c r="N17" s="13"/>
      <c r="O17" s="13"/>
      <c r="P17" s="13">
        <v>1000</v>
      </c>
      <c r="Q17" s="13">
        <v>4305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238</v>
      </c>
    </row>
    <row r="18" spans="2:30" x14ac:dyDescent="0.25">
      <c r="B18" s="18">
        <v>14</v>
      </c>
      <c r="C18" s="14">
        <v>13200</v>
      </c>
      <c r="D18" s="14">
        <v>42000</v>
      </c>
      <c r="E18" s="14">
        <f t="shared" si="0"/>
        <v>27600</v>
      </c>
      <c r="F18" s="14">
        <f t="shared" si="1"/>
        <v>15180.000000000002</v>
      </c>
      <c r="G18" s="14">
        <f t="shared" si="2"/>
        <v>42780</v>
      </c>
      <c r="H18" s="14">
        <f t="shared" si="3"/>
        <v>513360</v>
      </c>
      <c r="I18" s="13"/>
      <c r="J18" s="13"/>
      <c r="K18" s="13"/>
      <c r="L18" s="13"/>
      <c r="M18" s="13"/>
      <c r="N18" s="13"/>
      <c r="O18" s="13"/>
      <c r="P18" s="13">
        <v>1090</v>
      </c>
      <c r="Q18" s="13">
        <v>4600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 t="s">
        <v>238</v>
      </c>
    </row>
    <row r="19" spans="2:30" x14ac:dyDescent="0.25">
      <c r="B19" s="18">
        <v>15</v>
      </c>
      <c r="C19" s="14">
        <v>14600</v>
      </c>
      <c r="D19" s="14">
        <v>46210</v>
      </c>
      <c r="E19" s="14">
        <f t="shared" si="0"/>
        <v>30405</v>
      </c>
      <c r="F19" s="14">
        <f t="shared" si="1"/>
        <v>16722.75</v>
      </c>
      <c r="G19" s="14">
        <f t="shared" si="2"/>
        <v>47127.75</v>
      </c>
      <c r="H19" s="14">
        <f t="shared" si="3"/>
        <v>565533</v>
      </c>
      <c r="I19" s="13"/>
      <c r="J19" s="13"/>
      <c r="K19" s="13"/>
      <c r="L19" s="13"/>
      <c r="M19" s="13"/>
      <c r="N19" s="13"/>
      <c r="O19" s="13"/>
      <c r="P19" s="13">
        <v>1320</v>
      </c>
      <c r="Q19" s="13">
        <v>5400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 t="s">
        <v>238</v>
      </c>
    </row>
    <row r="20" spans="2:30" x14ac:dyDescent="0.25">
      <c r="B20" s="18">
        <v>16</v>
      </c>
      <c r="C20" s="14">
        <v>18000</v>
      </c>
      <c r="D20" s="14">
        <v>56280</v>
      </c>
      <c r="E20" s="14">
        <f t="shared" si="0"/>
        <v>37140</v>
      </c>
      <c r="F20" s="14">
        <f t="shared" si="1"/>
        <v>20427</v>
      </c>
      <c r="G20" s="14">
        <f t="shared" si="2"/>
        <v>57567</v>
      </c>
      <c r="H20" s="14">
        <f t="shared" si="3"/>
        <v>690804</v>
      </c>
      <c r="I20" s="13"/>
      <c r="J20" s="13"/>
      <c r="K20" s="13"/>
      <c r="L20" s="13"/>
      <c r="M20" s="13"/>
      <c r="N20" s="13"/>
      <c r="O20" s="13"/>
      <c r="P20" s="13">
        <v>1800</v>
      </c>
      <c r="Q20" s="13">
        <v>8600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238</v>
      </c>
    </row>
    <row r="21" spans="2:30" x14ac:dyDescent="0.25">
      <c r="B21" s="18">
        <v>17</v>
      </c>
      <c r="C21" s="14">
        <v>26400</v>
      </c>
      <c r="D21" s="14">
        <v>60600</v>
      </c>
      <c r="E21" s="14">
        <f t="shared" si="0"/>
        <v>43500</v>
      </c>
      <c r="F21" s="14">
        <f t="shared" si="1"/>
        <v>23925.000000000004</v>
      </c>
      <c r="G21" s="14">
        <f t="shared" si="2"/>
        <v>67425</v>
      </c>
      <c r="H21" s="14">
        <f t="shared" si="3"/>
        <v>809100</v>
      </c>
      <c r="I21" s="13"/>
      <c r="J21" s="13"/>
      <c r="K21" s="13"/>
      <c r="L21" s="13"/>
      <c r="M21" s="13"/>
      <c r="N21" s="13"/>
      <c r="O21" s="13"/>
      <c r="P21" s="13">
        <v>2260</v>
      </c>
      <c r="Q21" s="13">
        <v>10750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x14ac:dyDescent="0.25">
      <c r="B22" s="18">
        <v>18</v>
      </c>
      <c r="C22" s="14">
        <v>34000</v>
      </c>
      <c r="D22" s="14">
        <v>76940</v>
      </c>
      <c r="E22" s="14">
        <f t="shared" si="0"/>
        <v>55470</v>
      </c>
      <c r="F22" s="14">
        <f t="shared" si="1"/>
        <v>30508.500000000004</v>
      </c>
      <c r="G22" s="14">
        <f t="shared" si="2"/>
        <v>85978.5</v>
      </c>
      <c r="H22" s="14">
        <f t="shared" si="3"/>
        <v>1031742</v>
      </c>
      <c r="I22" s="13"/>
      <c r="J22" s="13"/>
      <c r="K22" s="13"/>
      <c r="L22" s="13"/>
      <c r="M22" s="13"/>
      <c r="N22" s="13"/>
      <c r="O22" s="13"/>
      <c r="P22" s="13">
        <v>2710</v>
      </c>
      <c r="Q22" s="13">
        <v>16300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x14ac:dyDescent="0.25">
      <c r="B23" s="18">
        <v>19</v>
      </c>
      <c r="C23" s="14">
        <v>49300</v>
      </c>
      <c r="D23" s="14">
        <v>110790</v>
      </c>
      <c r="E23" s="14">
        <f t="shared" si="0"/>
        <v>80045</v>
      </c>
      <c r="F23" s="14">
        <f t="shared" si="1"/>
        <v>44024.75</v>
      </c>
      <c r="G23" s="14">
        <f t="shared" si="2"/>
        <v>124069.75</v>
      </c>
      <c r="H23" s="14">
        <f t="shared" si="3"/>
        <v>1488837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x14ac:dyDescent="0.25">
      <c r="B24" s="153"/>
      <c r="C24" s="153"/>
      <c r="D24" s="153"/>
      <c r="E24" s="153"/>
      <c r="F24" s="153"/>
      <c r="G24" s="153"/>
      <c r="H24" s="153"/>
    </row>
    <row r="28" spans="2:30" x14ac:dyDescent="0.25">
      <c r="T28" s="58"/>
    </row>
  </sheetData>
  <sheetProtection sheet="1" objects="1" scenarios="1"/>
  <mergeCells count="6">
    <mergeCell ref="B2:H2"/>
    <mergeCell ref="G3:H3"/>
    <mergeCell ref="E3:E4"/>
    <mergeCell ref="D3:D4"/>
    <mergeCell ref="C3:C4"/>
    <mergeCell ref="B3:B4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2:E44"/>
  <sheetViews>
    <sheetView topLeftCell="A13" workbookViewId="0">
      <selection activeCell="F53" sqref="F53"/>
    </sheetView>
  </sheetViews>
  <sheetFormatPr defaultRowHeight="15" x14ac:dyDescent="0.25"/>
  <cols>
    <col min="1" max="1" width="33" style="19" bestFit="1" customWidth="1"/>
    <col min="2" max="2" width="11.5703125" style="19" bestFit="1" customWidth="1"/>
    <col min="3" max="3" width="11.5703125" style="21" bestFit="1" customWidth="1"/>
    <col min="4" max="16384" width="9.140625" style="19"/>
  </cols>
  <sheetData>
    <row r="2" spans="1:4" x14ac:dyDescent="0.25">
      <c r="A2" s="20" t="s">
        <v>659</v>
      </c>
      <c r="B2" s="19">
        <v>1.1499999999999999</v>
      </c>
    </row>
    <row r="4" spans="1:4" x14ac:dyDescent="0.25">
      <c r="A4" s="19" t="s">
        <v>660</v>
      </c>
      <c r="B4" s="19">
        <v>2555</v>
      </c>
      <c r="D4" s="19" t="s">
        <v>661</v>
      </c>
    </row>
    <row r="8" spans="1:4" x14ac:dyDescent="0.25">
      <c r="A8" s="20" t="s">
        <v>0</v>
      </c>
      <c r="B8" s="40" t="s">
        <v>536</v>
      </c>
    </row>
    <row r="9" spans="1:4" x14ac:dyDescent="0.25">
      <c r="A9" s="19" t="s">
        <v>537</v>
      </c>
      <c r="B9" s="22">
        <f>96*1000000</f>
        <v>96000000</v>
      </c>
      <c r="C9" s="21">
        <f>B9*0.7</f>
        <v>67200000</v>
      </c>
    </row>
    <row r="10" spans="1:4" x14ac:dyDescent="0.25">
      <c r="B10" s="22"/>
    </row>
    <row r="11" spans="1:4" x14ac:dyDescent="0.25">
      <c r="A11" s="19" t="s">
        <v>662</v>
      </c>
      <c r="B11" s="22">
        <f>B9*0.3</f>
        <v>28800000</v>
      </c>
    </row>
    <row r="12" spans="1:4" x14ac:dyDescent="0.25">
      <c r="A12" s="19" t="s">
        <v>663</v>
      </c>
      <c r="B12" s="22">
        <f>B9*0.7</f>
        <v>67200000</v>
      </c>
    </row>
    <row r="13" spans="1:4" x14ac:dyDescent="0.25">
      <c r="B13" s="22"/>
    </row>
    <row r="14" spans="1:4" x14ac:dyDescent="0.25">
      <c r="A14" s="19" t="s">
        <v>538</v>
      </c>
      <c r="B14" s="21">
        <f>B9*0.5058</f>
        <v>48556800</v>
      </c>
      <c r="C14" s="21">
        <f>B14*0.7</f>
        <v>33989760</v>
      </c>
      <c r="D14" s="241" t="s">
        <v>664</v>
      </c>
    </row>
    <row r="15" spans="1:4" x14ac:dyDescent="0.25">
      <c r="A15" s="19" t="s">
        <v>539</v>
      </c>
      <c r="B15" s="21">
        <f>B9-B14</f>
        <v>47443200</v>
      </c>
      <c r="C15" s="21">
        <f>B15*0.7</f>
        <v>33210239.999999996</v>
      </c>
      <c r="D15" s="241"/>
    </row>
    <row r="16" spans="1:4" x14ac:dyDescent="0.25">
      <c r="B16" s="21"/>
      <c r="D16" s="241"/>
    </row>
    <row r="17" spans="1:5" x14ac:dyDescent="0.25">
      <c r="A17" s="19" t="s">
        <v>543</v>
      </c>
      <c r="B17" s="21">
        <f>B15*51%</f>
        <v>24196032</v>
      </c>
      <c r="C17" s="21">
        <f>B17*0.7</f>
        <v>16937222.399999999</v>
      </c>
      <c r="D17" s="241"/>
    </row>
    <row r="18" spans="1:5" x14ac:dyDescent="0.25">
      <c r="A18" s="19" t="s">
        <v>540</v>
      </c>
      <c r="B18" s="21">
        <f>B17*0.59</f>
        <v>14275658.879999999</v>
      </c>
      <c r="C18" s="21">
        <f>B18*0.7</f>
        <v>9992961.2159999982</v>
      </c>
      <c r="D18" s="241"/>
      <c r="E18" s="41">
        <f>mwra/gpop</f>
        <v>0.14870477999999998</v>
      </c>
    </row>
    <row r="19" spans="1:5" x14ac:dyDescent="0.25">
      <c r="B19" s="21"/>
      <c r="D19" s="241"/>
    </row>
    <row r="20" spans="1:5" x14ac:dyDescent="0.25">
      <c r="A20" s="19" t="s">
        <v>541</v>
      </c>
      <c r="B20" s="21">
        <f>B9*0.126</f>
        <v>12096000</v>
      </c>
      <c r="C20" s="21">
        <f>B20*0.7</f>
        <v>8467200</v>
      </c>
      <c r="D20" s="241"/>
      <c r="E20" s="41">
        <f>upop/gpop</f>
        <v>0.126</v>
      </c>
    </row>
    <row r="21" spans="1:5" x14ac:dyDescent="0.25">
      <c r="A21" s="19" t="s">
        <v>542</v>
      </c>
      <c r="B21" s="21">
        <f>B20*0.189</f>
        <v>2286144</v>
      </c>
      <c r="C21" s="21">
        <f>B21*0.7</f>
        <v>1600300.7999999998</v>
      </c>
      <c r="D21" s="241"/>
      <c r="E21" s="41">
        <f>C21/gpop</f>
        <v>2.3813999999999998E-2</v>
      </c>
    </row>
    <row r="22" spans="1:5" x14ac:dyDescent="0.25">
      <c r="D22" s="241"/>
    </row>
    <row r="23" spans="1:5" x14ac:dyDescent="0.25">
      <c r="A23" s="19" t="s">
        <v>544</v>
      </c>
      <c r="B23" s="21">
        <f>B9*(27.6/1000)</f>
        <v>2649600.0000000005</v>
      </c>
      <c r="C23" s="21">
        <f>B23*0.7</f>
        <v>1854720.0000000002</v>
      </c>
      <c r="D23" s="241"/>
      <c r="E23" s="41">
        <f>C23/gpop</f>
        <v>2.7600000000000003E-2</v>
      </c>
    </row>
    <row r="24" spans="1:5" x14ac:dyDescent="0.25">
      <c r="B24" s="21"/>
    </row>
    <row r="25" spans="1:5" x14ac:dyDescent="0.25">
      <c r="A25" s="19" t="s">
        <v>665</v>
      </c>
      <c r="B25" s="21">
        <f>B9-B20</f>
        <v>83904000</v>
      </c>
      <c r="C25" s="21">
        <f>gpop-upop</f>
        <v>58732800</v>
      </c>
      <c r="E25" s="41">
        <f>apop/gpop</f>
        <v>0.874</v>
      </c>
    </row>
    <row r="26" spans="1:5" x14ac:dyDescent="0.25">
      <c r="A26" s="19" t="s">
        <v>667</v>
      </c>
      <c r="B26" s="21">
        <f>B9*0.62</f>
        <v>59520000</v>
      </c>
      <c r="C26" s="21">
        <f>B26*0.7</f>
        <v>41664000</v>
      </c>
      <c r="E26" s="41">
        <f>a15pop/gpop</f>
        <v>0.62</v>
      </c>
    </row>
    <row r="27" spans="1:5" x14ac:dyDescent="0.25">
      <c r="B27" s="21"/>
    </row>
    <row r="28" spans="1:5" x14ac:dyDescent="0.25">
      <c r="A28" s="19" t="s">
        <v>666</v>
      </c>
      <c r="B28" s="21">
        <f>B23*1.05</f>
        <v>2782080.0000000005</v>
      </c>
      <c r="C28" s="21">
        <f>C23*1.05</f>
        <v>1947456.0000000002</v>
      </c>
      <c r="E28" s="41">
        <f>epreg/gpop</f>
        <v>2.8980000000000002E-2</v>
      </c>
    </row>
    <row r="29" spans="1:5" x14ac:dyDescent="0.25">
      <c r="B29" s="21"/>
    </row>
    <row r="30" spans="1:5" hidden="1" x14ac:dyDescent="0.25">
      <c r="A30" s="139" t="s">
        <v>545</v>
      </c>
      <c r="B30" s="140">
        <v>227</v>
      </c>
    </row>
    <row r="31" spans="1:5" hidden="1" x14ac:dyDescent="0.25">
      <c r="A31" s="139" t="s">
        <v>546</v>
      </c>
      <c r="B31" s="140">
        <v>23</v>
      </c>
    </row>
    <row r="32" spans="1:5" hidden="1" x14ac:dyDescent="0.25">
      <c r="A32" s="139" t="s">
        <v>547</v>
      </c>
      <c r="B32" s="140">
        <v>81</v>
      </c>
    </row>
    <row r="33" spans="1:5" hidden="1" x14ac:dyDescent="0.25">
      <c r="A33" s="139" t="s">
        <v>548</v>
      </c>
      <c r="B33" s="140">
        <v>97</v>
      </c>
    </row>
    <row r="34" spans="1:5" s="21" customFormat="1" hidden="1" x14ac:dyDescent="0.25">
      <c r="A34" s="139"/>
      <c r="B34" s="140"/>
      <c r="D34" s="19"/>
      <c r="E34" s="19"/>
    </row>
    <row r="35" spans="1:5" s="21" customFormat="1" hidden="1" x14ac:dyDescent="0.25">
      <c r="A35" s="139"/>
      <c r="B35" s="140"/>
      <c r="D35" s="19"/>
      <c r="E35" s="19"/>
    </row>
    <row r="36" spans="1:5" s="21" customFormat="1" hidden="1" x14ac:dyDescent="0.25">
      <c r="A36" s="139" t="s">
        <v>549</v>
      </c>
      <c r="B36" s="140">
        <f>(B23*B30)/100000</f>
        <v>6014.5920000000015</v>
      </c>
      <c r="D36" s="19"/>
      <c r="E36" s="19"/>
    </row>
    <row r="37" spans="1:5" s="21" customFormat="1" hidden="1" x14ac:dyDescent="0.25">
      <c r="A37" s="139" t="s">
        <v>550</v>
      </c>
      <c r="B37" s="140">
        <f>(B23*B32)/1000</f>
        <v>214617.60000000003</v>
      </c>
      <c r="D37" s="19"/>
      <c r="E37" s="19"/>
    </row>
    <row r="38" spans="1:5" s="21" customFormat="1" hidden="1" x14ac:dyDescent="0.25">
      <c r="A38" s="139" t="s">
        <v>551</v>
      </c>
      <c r="B38" s="140">
        <f>(B31*B23)/1000</f>
        <v>60940.80000000001</v>
      </c>
      <c r="D38" s="19"/>
      <c r="E38" s="19"/>
    </row>
    <row r="39" spans="1:5" s="21" customFormat="1" hidden="1" x14ac:dyDescent="0.25">
      <c r="A39" s="139" t="s">
        <v>552</v>
      </c>
      <c r="B39" s="140">
        <f>(B33*B23)/1000</f>
        <v>257011.20000000007</v>
      </c>
      <c r="D39" s="19"/>
      <c r="E39" s="19"/>
    </row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s="21" customFormat="1" x14ac:dyDescent="0.25">
      <c r="A44" s="19" t="s">
        <v>672</v>
      </c>
      <c r="B44" s="35">
        <f>B12/HFN</f>
        <v>26301.369863013697</v>
      </c>
      <c r="D44" s="19"/>
      <c r="E44" s="19"/>
    </row>
  </sheetData>
  <sheetProtection sheet="1" objects="1" scenarios="1"/>
  <mergeCells count="1">
    <mergeCell ref="D14:D23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showGridLines="0" zoomScale="115" zoomScaleNormal="115" workbookViewId="0">
      <selection activeCell="D29" sqref="D29"/>
    </sheetView>
  </sheetViews>
  <sheetFormatPr defaultRowHeight="15" x14ac:dyDescent="0.25"/>
  <cols>
    <col min="1" max="1" width="3" style="19" customWidth="1"/>
    <col min="2" max="2" width="49.140625" customWidth="1"/>
    <col min="3" max="3" width="8.7109375" bestFit="1" customWidth="1"/>
    <col min="4" max="4" width="7" style="19" customWidth="1"/>
    <col min="5" max="6" width="8" bestFit="1" customWidth="1"/>
    <col min="7" max="7" width="12.42578125" bestFit="1" customWidth="1"/>
    <col min="13" max="13" width="8.85546875" customWidth="1"/>
  </cols>
  <sheetData>
    <row r="2" spans="2:7" x14ac:dyDescent="0.25">
      <c r="B2" s="242" t="s">
        <v>589</v>
      </c>
      <c r="C2" s="242" t="s">
        <v>1</v>
      </c>
      <c r="D2" s="242" t="s">
        <v>650</v>
      </c>
      <c r="E2" s="242" t="s">
        <v>467</v>
      </c>
      <c r="F2" s="242"/>
      <c r="G2" s="242" t="s">
        <v>592</v>
      </c>
    </row>
    <row r="3" spans="2:7" x14ac:dyDescent="0.25">
      <c r="B3" s="242"/>
      <c r="C3" s="242" t="s">
        <v>1</v>
      </c>
      <c r="D3" s="242" t="s">
        <v>650</v>
      </c>
      <c r="E3" s="168" t="s">
        <v>3</v>
      </c>
      <c r="F3" s="168" t="s">
        <v>8</v>
      </c>
      <c r="G3" s="242" t="s">
        <v>571</v>
      </c>
    </row>
    <row r="4" spans="2:7" x14ac:dyDescent="0.25">
      <c r="B4" s="129" t="s">
        <v>681</v>
      </c>
      <c r="C4" s="129">
        <v>1</v>
      </c>
      <c r="D4" s="129">
        <v>5</v>
      </c>
      <c r="E4" s="129">
        <v>2500</v>
      </c>
      <c r="F4" s="129">
        <f>C4*E4</f>
        <v>2500</v>
      </c>
      <c r="G4" s="129">
        <f>F4/D4</f>
        <v>500</v>
      </c>
    </row>
    <row r="5" spans="2:7" x14ac:dyDescent="0.25">
      <c r="B5" s="129" t="s">
        <v>682</v>
      </c>
      <c r="C5" s="129">
        <v>1</v>
      </c>
      <c r="D5" s="129">
        <v>5</v>
      </c>
      <c r="E5" s="129">
        <v>2500</v>
      </c>
      <c r="F5" s="129">
        <f t="shared" ref="F5:F22" si="0">C5*E5</f>
        <v>2500</v>
      </c>
      <c r="G5" s="129">
        <f t="shared" ref="G5:G22" si="1">F5/D5</f>
        <v>500</v>
      </c>
    </row>
    <row r="6" spans="2:7" x14ac:dyDescent="0.25">
      <c r="B6" s="129" t="s">
        <v>683</v>
      </c>
      <c r="C6" s="129">
        <v>1</v>
      </c>
      <c r="D6" s="129">
        <v>5</v>
      </c>
      <c r="E6" s="129">
        <v>1000</v>
      </c>
      <c r="F6" s="129">
        <f t="shared" si="0"/>
        <v>1000</v>
      </c>
      <c r="G6" s="129">
        <f t="shared" si="1"/>
        <v>200</v>
      </c>
    </row>
    <row r="7" spans="2:7" x14ac:dyDescent="0.25">
      <c r="B7" s="129" t="s">
        <v>590</v>
      </c>
      <c r="C7" s="129">
        <v>1</v>
      </c>
      <c r="D7" s="129">
        <v>5</v>
      </c>
      <c r="E7" s="129">
        <v>5000</v>
      </c>
      <c r="F7" s="129">
        <f t="shared" si="0"/>
        <v>5000</v>
      </c>
      <c r="G7" s="129">
        <f t="shared" si="1"/>
        <v>1000</v>
      </c>
    </row>
    <row r="8" spans="2:7" x14ac:dyDescent="0.25">
      <c r="B8" s="129" t="s">
        <v>684</v>
      </c>
      <c r="C8" s="129">
        <v>1</v>
      </c>
      <c r="D8" s="129">
        <v>8</v>
      </c>
      <c r="E8" s="129">
        <v>10000</v>
      </c>
      <c r="F8" s="129">
        <f t="shared" si="0"/>
        <v>10000</v>
      </c>
      <c r="G8" s="129">
        <f t="shared" si="1"/>
        <v>1250</v>
      </c>
    </row>
    <row r="9" spans="2:7" x14ac:dyDescent="0.25">
      <c r="B9" s="129" t="s">
        <v>685</v>
      </c>
      <c r="C9" s="129">
        <v>1</v>
      </c>
      <c r="D9" s="129">
        <v>3</v>
      </c>
      <c r="E9" s="129">
        <v>1500</v>
      </c>
      <c r="F9" s="129">
        <f t="shared" si="0"/>
        <v>1500</v>
      </c>
      <c r="G9" s="129">
        <f t="shared" si="1"/>
        <v>500</v>
      </c>
    </row>
    <row r="10" spans="2:7" x14ac:dyDescent="0.25">
      <c r="B10" s="129" t="s">
        <v>686</v>
      </c>
      <c r="C10" s="129">
        <v>1</v>
      </c>
      <c r="D10" s="129">
        <v>3</v>
      </c>
      <c r="E10" s="129">
        <v>3500</v>
      </c>
      <c r="F10" s="129">
        <f t="shared" si="0"/>
        <v>3500</v>
      </c>
      <c r="G10" s="129">
        <f t="shared" si="1"/>
        <v>1166.6666666666667</v>
      </c>
    </row>
    <row r="11" spans="2:7" x14ac:dyDescent="0.25">
      <c r="B11" s="129" t="s">
        <v>687</v>
      </c>
      <c r="C11" s="129">
        <v>1</v>
      </c>
      <c r="D11" s="129">
        <v>5</v>
      </c>
      <c r="E11" s="129">
        <v>1500</v>
      </c>
      <c r="F11" s="129">
        <f t="shared" si="0"/>
        <v>1500</v>
      </c>
      <c r="G11" s="129">
        <f t="shared" si="1"/>
        <v>300</v>
      </c>
    </row>
    <row r="12" spans="2:7" x14ac:dyDescent="0.25">
      <c r="B12" s="129" t="s">
        <v>688</v>
      </c>
      <c r="C12" s="129">
        <v>1</v>
      </c>
      <c r="D12" s="129">
        <v>3</v>
      </c>
      <c r="E12" s="129">
        <v>500</v>
      </c>
      <c r="F12" s="129">
        <f t="shared" si="0"/>
        <v>500</v>
      </c>
      <c r="G12" s="129">
        <f t="shared" si="1"/>
        <v>166.66666666666666</v>
      </c>
    </row>
    <row r="13" spans="2:7" x14ac:dyDescent="0.25">
      <c r="B13" s="129" t="s">
        <v>689</v>
      </c>
      <c r="C13" s="129">
        <v>1</v>
      </c>
      <c r="D13" s="129">
        <v>3</v>
      </c>
      <c r="E13" s="129">
        <v>550</v>
      </c>
      <c r="F13" s="129">
        <f t="shared" si="0"/>
        <v>550</v>
      </c>
      <c r="G13" s="129">
        <f t="shared" si="1"/>
        <v>183.33333333333334</v>
      </c>
    </row>
    <row r="14" spans="2:7" x14ac:dyDescent="0.25">
      <c r="B14" s="129" t="s">
        <v>690</v>
      </c>
      <c r="C14" s="129">
        <v>1</v>
      </c>
      <c r="D14" s="129">
        <v>3</v>
      </c>
      <c r="E14" s="129">
        <v>450</v>
      </c>
      <c r="F14" s="129">
        <f t="shared" si="0"/>
        <v>450</v>
      </c>
      <c r="G14" s="129">
        <f t="shared" si="1"/>
        <v>150</v>
      </c>
    </row>
    <row r="15" spans="2:7" x14ac:dyDescent="0.25">
      <c r="B15" s="129" t="s">
        <v>691</v>
      </c>
      <c r="C15" s="129">
        <v>1</v>
      </c>
      <c r="D15" s="129">
        <v>5</v>
      </c>
      <c r="E15" s="129">
        <v>3500</v>
      </c>
      <c r="F15" s="129">
        <f t="shared" si="0"/>
        <v>3500</v>
      </c>
      <c r="G15" s="129">
        <f t="shared" si="1"/>
        <v>700</v>
      </c>
    </row>
    <row r="16" spans="2:7" x14ac:dyDescent="0.25">
      <c r="B16" s="129" t="s">
        <v>692</v>
      </c>
      <c r="C16" s="129">
        <v>1</v>
      </c>
      <c r="D16" s="129">
        <v>5</v>
      </c>
      <c r="E16" s="129">
        <v>1500</v>
      </c>
      <c r="F16" s="129">
        <f t="shared" si="0"/>
        <v>1500</v>
      </c>
      <c r="G16" s="129">
        <f t="shared" si="1"/>
        <v>300</v>
      </c>
    </row>
    <row r="17" spans="2:7" ht="27.75" customHeight="1" x14ac:dyDescent="0.25">
      <c r="B17" s="129" t="s">
        <v>693</v>
      </c>
      <c r="C17" s="129">
        <v>1</v>
      </c>
      <c r="D17" s="129">
        <v>5</v>
      </c>
      <c r="E17" s="129">
        <v>6000</v>
      </c>
      <c r="F17" s="129">
        <f t="shared" si="0"/>
        <v>6000</v>
      </c>
      <c r="G17" s="129">
        <f t="shared" si="1"/>
        <v>1200</v>
      </c>
    </row>
    <row r="18" spans="2:7" x14ac:dyDescent="0.25">
      <c r="B18" s="129" t="s">
        <v>694</v>
      </c>
      <c r="C18" s="129">
        <v>1</v>
      </c>
      <c r="D18" s="129">
        <v>5</v>
      </c>
      <c r="E18" s="129">
        <v>2000</v>
      </c>
      <c r="F18" s="129">
        <f t="shared" si="0"/>
        <v>2000</v>
      </c>
      <c r="G18" s="129">
        <f t="shared" si="1"/>
        <v>400</v>
      </c>
    </row>
    <row r="19" spans="2:7" x14ac:dyDescent="0.25">
      <c r="B19" s="129" t="s">
        <v>695</v>
      </c>
      <c r="C19" s="129">
        <v>1</v>
      </c>
      <c r="D19" s="129">
        <v>3</v>
      </c>
      <c r="E19" s="129">
        <v>1500</v>
      </c>
      <c r="F19" s="129">
        <f t="shared" si="0"/>
        <v>1500</v>
      </c>
      <c r="G19" s="129">
        <f t="shared" si="1"/>
        <v>500</v>
      </c>
    </row>
    <row r="20" spans="2:7" x14ac:dyDescent="0.25">
      <c r="B20" s="129" t="s">
        <v>696</v>
      </c>
      <c r="C20" s="129">
        <v>2</v>
      </c>
      <c r="D20" s="129">
        <v>3</v>
      </c>
      <c r="E20" s="129">
        <v>500</v>
      </c>
      <c r="F20" s="129">
        <f t="shared" si="0"/>
        <v>1000</v>
      </c>
      <c r="G20" s="129">
        <f t="shared" si="1"/>
        <v>333.33333333333331</v>
      </c>
    </row>
    <row r="21" spans="2:7" x14ac:dyDescent="0.25">
      <c r="B21" s="129" t="s">
        <v>697</v>
      </c>
      <c r="C21" s="129">
        <v>1</v>
      </c>
      <c r="D21" s="129">
        <v>3</v>
      </c>
      <c r="E21" s="129">
        <v>1000</v>
      </c>
      <c r="F21" s="129">
        <f t="shared" si="0"/>
        <v>1000</v>
      </c>
      <c r="G21" s="129">
        <f t="shared" si="1"/>
        <v>333.33333333333331</v>
      </c>
    </row>
    <row r="22" spans="2:7" x14ac:dyDescent="0.25">
      <c r="B22" s="129" t="s">
        <v>698</v>
      </c>
      <c r="C22" s="129">
        <v>1</v>
      </c>
      <c r="D22" s="129">
        <v>3</v>
      </c>
      <c r="E22" s="129">
        <v>200</v>
      </c>
      <c r="F22" s="129">
        <f t="shared" si="0"/>
        <v>200</v>
      </c>
      <c r="G22" s="129">
        <f t="shared" si="1"/>
        <v>66.666666666666671</v>
      </c>
    </row>
    <row r="23" spans="2:7" s="19" customFormat="1" x14ac:dyDescent="0.25">
      <c r="B23" s="129" t="s">
        <v>703</v>
      </c>
      <c r="C23" s="129">
        <v>1</v>
      </c>
      <c r="D23" s="129">
        <v>5</v>
      </c>
      <c r="E23" s="129">
        <v>55000</v>
      </c>
      <c r="F23" s="129">
        <f t="shared" ref="F23:F24" si="2">C23*E23</f>
        <v>55000</v>
      </c>
      <c r="G23" s="129">
        <f t="shared" ref="G23:G24" si="3">F23/D23</f>
        <v>11000</v>
      </c>
    </row>
    <row r="24" spans="2:7" s="19" customFormat="1" x14ac:dyDescent="0.25">
      <c r="B24" s="129" t="s">
        <v>702</v>
      </c>
      <c r="C24" s="129">
        <v>1</v>
      </c>
      <c r="D24" s="129">
        <v>5</v>
      </c>
      <c r="E24" s="129">
        <v>15000</v>
      </c>
      <c r="F24" s="129">
        <f t="shared" si="2"/>
        <v>15000</v>
      </c>
      <c r="G24" s="129">
        <f t="shared" si="3"/>
        <v>3000</v>
      </c>
    </row>
    <row r="25" spans="2:7" x14ac:dyDescent="0.25">
      <c r="B25" s="171" t="s">
        <v>8</v>
      </c>
      <c r="C25" s="169"/>
      <c r="D25" s="169"/>
      <c r="E25" s="169"/>
      <c r="F25" s="169"/>
      <c r="G25" s="170">
        <f>SUM(G4:G22)</f>
        <v>9750.0000000000018</v>
      </c>
    </row>
  </sheetData>
  <mergeCells count="5">
    <mergeCell ref="G2:G3"/>
    <mergeCell ref="E2:F2"/>
    <mergeCell ref="B2:B3"/>
    <mergeCell ref="C2:C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15"/>
  <sheetViews>
    <sheetView showGridLines="0" zoomScaleNormal="100" workbookViewId="0">
      <selection activeCell="D29" sqref="D29"/>
    </sheetView>
  </sheetViews>
  <sheetFormatPr defaultRowHeight="18.75" x14ac:dyDescent="0.3"/>
  <cols>
    <col min="1" max="1" width="9.140625" style="42"/>
    <col min="2" max="2" width="74.140625" style="42" bestFit="1" customWidth="1"/>
    <col min="3" max="3" width="8" style="43" bestFit="1" customWidth="1"/>
    <col min="4" max="4" width="9.42578125" style="43" bestFit="1" customWidth="1"/>
    <col min="5" max="5" width="10.85546875" style="42" customWidth="1"/>
    <col min="6" max="6" width="17.42578125" style="42" customWidth="1"/>
    <col min="7" max="7" width="11.42578125" style="42" hidden="1" customWidth="1"/>
    <col min="8" max="8" width="12" style="42" customWidth="1"/>
    <col min="9" max="9" width="16.28515625" style="42" customWidth="1"/>
    <col min="10" max="12" width="9.140625" style="42"/>
    <col min="13" max="13" width="9.42578125" style="42" bestFit="1" customWidth="1"/>
    <col min="14" max="16384" width="9.140625" style="42"/>
  </cols>
  <sheetData>
    <row r="1" spans="2:13" x14ac:dyDescent="0.3">
      <c r="L1" s="44" t="s">
        <v>576</v>
      </c>
      <c r="M1" s="44">
        <v>95</v>
      </c>
    </row>
    <row r="2" spans="2:13" x14ac:dyDescent="0.3">
      <c r="B2" s="178" t="s">
        <v>577</v>
      </c>
      <c r="C2" s="179"/>
      <c r="D2" s="179"/>
      <c r="E2" s="179"/>
      <c r="F2" s="179"/>
      <c r="G2" s="179"/>
      <c r="H2" s="179"/>
      <c r="I2" s="187"/>
    </row>
    <row r="3" spans="2:13" x14ac:dyDescent="0.3">
      <c r="B3" s="185" t="s">
        <v>164</v>
      </c>
      <c r="C3" s="125" t="s">
        <v>575</v>
      </c>
      <c r="D3" s="125" t="s">
        <v>572</v>
      </c>
      <c r="E3" s="179" t="s">
        <v>572</v>
      </c>
      <c r="F3" s="179"/>
      <c r="G3" s="179"/>
      <c r="H3" s="179"/>
      <c r="I3" s="187"/>
    </row>
    <row r="4" spans="2:13" ht="37.5" x14ac:dyDescent="0.3">
      <c r="B4" s="186"/>
      <c r="C4" s="188" t="s">
        <v>573</v>
      </c>
      <c r="D4" s="188"/>
      <c r="E4" s="146" t="s">
        <v>553</v>
      </c>
      <c r="F4" s="125" t="s">
        <v>574</v>
      </c>
      <c r="G4" s="125" t="s">
        <v>554</v>
      </c>
      <c r="H4" s="125" t="s">
        <v>555</v>
      </c>
      <c r="I4" s="125" t="s">
        <v>556</v>
      </c>
      <c r="J4" s="45"/>
    </row>
    <row r="5" spans="2:13" x14ac:dyDescent="0.3">
      <c r="B5" s="46" t="s">
        <v>594</v>
      </c>
      <c r="C5" s="47">
        <f t="shared" ref="C5:C12" si="0">D5/ex_usd</f>
        <v>5.0059980350877202</v>
      </c>
      <c r="D5" s="48">
        <f t="shared" ref="D5:D13" si="1">SUM(E5:I5)</f>
        <v>475.5698133333334</v>
      </c>
      <c r="E5" s="49">
        <f>HR_Intervention!G5</f>
        <v>20</v>
      </c>
      <c r="F5" s="49">
        <f>'1.ANC'!C53</f>
        <v>367.32360000000006</v>
      </c>
      <c r="G5" s="49">
        <f t="shared" ref="G5:G12" si="2">E5*indirect_sal</f>
        <v>0</v>
      </c>
      <c r="H5" s="49">
        <f>(E5+G5)*Operating_Exp!$D$10</f>
        <v>17.416666666666668</v>
      </c>
      <c r="I5" s="49">
        <f>SUM(E5:H5)*17.5%</f>
        <v>70.829546666666673</v>
      </c>
    </row>
    <row r="6" spans="2:13" x14ac:dyDescent="0.3">
      <c r="B6" s="46" t="s">
        <v>31</v>
      </c>
      <c r="C6" s="47">
        <f t="shared" ref="C6" si="3">D6/ex_usd</f>
        <v>2.9470316302339179</v>
      </c>
      <c r="D6" s="48">
        <f t="shared" ref="D6" si="4">SUM(E6:I6)</f>
        <v>279.9680048722222</v>
      </c>
      <c r="E6" s="49">
        <f>HR_Intervention!G6</f>
        <v>30</v>
      </c>
      <c r="F6" s="49">
        <f>'2.Delivery'!C53</f>
        <v>182.14564244444443</v>
      </c>
      <c r="G6" s="49"/>
      <c r="H6" s="49">
        <f>(E6+G6)*Operating_Exp!$D$10</f>
        <v>26.125</v>
      </c>
      <c r="I6" s="49">
        <f t="shared" ref="I6:I13" si="5">SUM(E6:H6)*17.5%</f>
        <v>41.697362427777776</v>
      </c>
    </row>
    <row r="7" spans="2:13" x14ac:dyDescent="0.3">
      <c r="B7" s="46" t="s">
        <v>595</v>
      </c>
      <c r="C7" s="47">
        <f t="shared" si="0"/>
        <v>2.3263376644736846</v>
      </c>
      <c r="D7" s="48">
        <f t="shared" si="1"/>
        <v>221.00207812500003</v>
      </c>
      <c r="E7" s="49">
        <f>HR_Intervention!G7</f>
        <v>11.25</v>
      </c>
      <c r="F7" s="49">
        <f>'3.Post_partum'!C53</f>
        <v>167.04000000000002</v>
      </c>
      <c r="G7" s="49">
        <f t="shared" si="2"/>
        <v>0</v>
      </c>
      <c r="H7" s="49">
        <f>(E7+G7)*Operating_Exp!$D$10</f>
        <v>9.796875</v>
      </c>
      <c r="I7" s="49">
        <f t="shared" si="5"/>
        <v>32.915203125000005</v>
      </c>
    </row>
    <row r="8" spans="2:13" x14ac:dyDescent="0.3">
      <c r="B8" s="46" t="s">
        <v>557</v>
      </c>
      <c r="C8" s="47">
        <f t="shared" si="0"/>
        <v>0.35353430921052625</v>
      </c>
      <c r="D8" s="48">
        <f t="shared" si="1"/>
        <v>33.585759374999995</v>
      </c>
      <c r="E8" s="49">
        <f>HR_Intervention!G9</f>
        <v>3.75</v>
      </c>
      <c r="F8" s="49">
        <f>'8.Child_diarh_nodehy'!C53</f>
        <v>21.567999999999998</v>
      </c>
      <c r="G8" s="49">
        <f t="shared" si="2"/>
        <v>0</v>
      </c>
      <c r="H8" s="49">
        <f>(E8+G8)*Operating_Exp!$D$10</f>
        <v>3.265625</v>
      </c>
      <c r="I8" s="49">
        <f t="shared" si="5"/>
        <v>5.0021343749999989</v>
      </c>
    </row>
    <row r="9" spans="2:13" x14ac:dyDescent="0.3">
      <c r="B9" s="46" t="s">
        <v>558</v>
      </c>
      <c r="C9" s="47">
        <f t="shared" si="0"/>
        <v>0.36307036184210523</v>
      </c>
      <c r="D9" s="48">
        <f t="shared" si="1"/>
        <v>34.491684374999998</v>
      </c>
      <c r="E9" s="49">
        <f>HR_Intervention!G11</f>
        <v>3.75</v>
      </c>
      <c r="F9" s="49">
        <f>'11.Child_Fever'!C53</f>
        <v>22.338999999999999</v>
      </c>
      <c r="G9" s="49">
        <f t="shared" si="2"/>
        <v>0</v>
      </c>
      <c r="H9" s="49">
        <f>(E9+G9)*Operating_Exp!$D$10</f>
        <v>3.265625</v>
      </c>
      <c r="I9" s="49">
        <f t="shared" si="5"/>
        <v>5.1370593749999998</v>
      </c>
    </row>
    <row r="10" spans="2:13" x14ac:dyDescent="0.3">
      <c r="B10" s="46" t="s">
        <v>528</v>
      </c>
      <c r="C10" s="47">
        <f t="shared" si="0"/>
        <v>1.2299750548245614</v>
      </c>
      <c r="D10" s="48">
        <f t="shared" si="1"/>
        <v>116.84763020833333</v>
      </c>
      <c r="E10" s="49">
        <f>SUM(HR_Intervention!G16:G17)/2</f>
        <v>2.75</v>
      </c>
      <c r="F10" s="49">
        <f>'12.FP_condoms'!C53</f>
        <v>94.3</v>
      </c>
      <c r="G10" s="49">
        <f t="shared" si="2"/>
        <v>0</v>
      </c>
      <c r="H10" s="49">
        <f>(E10+G10)*Operating_Exp!$D$10</f>
        <v>2.3947916666666669</v>
      </c>
      <c r="I10" s="49">
        <f t="shared" si="5"/>
        <v>17.402838541666664</v>
      </c>
    </row>
    <row r="11" spans="2:13" x14ac:dyDescent="0.3">
      <c r="B11" s="46" t="s">
        <v>559</v>
      </c>
      <c r="C11" s="47">
        <f t="shared" si="0"/>
        <v>1.2317079221491227</v>
      </c>
      <c r="D11" s="48">
        <f t="shared" si="1"/>
        <v>117.01225260416666</v>
      </c>
      <c r="E11" s="49">
        <f>SUM(HR_Intervention!G14:G15)/2</f>
        <v>4.375</v>
      </c>
      <c r="F11" s="49">
        <f>'13.FP_Oral'!C53</f>
        <v>91.4</v>
      </c>
      <c r="G11" s="49">
        <f t="shared" si="2"/>
        <v>0</v>
      </c>
      <c r="H11" s="49">
        <f>(E11+G11)*Operating_Exp!$D$10</f>
        <v>3.8098958333333335</v>
      </c>
      <c r="I11" s="49">
        <f t="shared" si="5"/>
        <v>17.427356770833331</v>
      </c>
    </row>
    <row r="12" spans="2:13" x14ac:dyDescent="0.3">
      <c r="B12" s="46" t="s">
        <v>560</v>
      </c>
      <c r="C12" s="47">
        <f t="shared" si="0"/>
        <v>0.89370371162280693</v>
      </c>
      <c r="D12" s="48">
        <f t="shared" si="1"/>
        <v>84.901852604166663</v>
      </c>
      <c r="E12" s="49">
        <f>SUM(HR_Intervention!G12:G13)/2</f>
        <v>4.375</v>
      </c>
      <c r="F12" s="49">
        <f>'14.FP_Inject'!C53</f>
        <v>64.072000000000003</v>
      </c>
      <c r="G12" s="49">
        <f t="shared" si="2"/>
        <v>0</v>
      </c>
      <c r="H12" s="49">
        <f>(E12+G12)*Operating_Exp!$D$10</f>
        <v>3.8098958333333335</v>
      </c>
      <c r="I12" s="49">
        <f t="shared" si="5"/>
        <v>12.644956770833332</v>
      </c>
    </row>
    <row r="13" spans="2:13" x14ac:dyDescent="0.3">
      <c r="B13" s="46" t="s">
        <v>679</v>
      </c>
      <c r="C13" s="47">
        <f t="shared" ref="C13" si="6">D13/ex_usd</f>
        <v>0.71958477339181282</v>
      </c>
      <c r="D13" s="48">
        <f t="shared" si="1"/>
        <v>68.360553472222222</v>
      </c>
      <c r="E13" s="49">
        <f>HR_Intervention!G18</f>
        <v>12.5</v>
      </c>
      <c r="F13" s="49">
        <f>'15.FP_IUD'!C53</f>
        <v>34.793777777777777</v>
      </c>
      <c r="G13" s="49"/>
      <c r="H13" s="49">
        <f>(E13+G13)*Operating_Exp!$D$10</f>
        <v>10.885416666666666</v>
      </c>
      <c r="I13" s="49">
        <f t="shared" si="5"/>
        <v>10.181359027777777</v>
      </c>
    </row>
    <row r="14" spans="2:13" x14ac:dyDescent="0.3">
      <c r="B14" s="125"/>
      <c r="C14" s="125"/>
      <c r="D14" s="125"/>
      <c r="E14" s="125"/>
      <c r="F14" s="125"/>
      <c r="G14" s="125"/>
      <c r="H14" s="125"/>
      <c r="I14" s="125"/>
    </row>
    <row r="15" spans="2:13" x14ac:dyDescent="0.3">
      <c r="F15" s="51"/>
    </row>
  </sheetData>
  <sheetProtection algorithmName="SHA-512" hashValue="qDUxLdYH8ypMR66q6VkFNvpvn2zSPprLeXgqvHfi5x1XHGCNH0OvEX2S7xa8bUkadD41fTSbJiVgKl5B+8ZEQg==" saltValue="7ULiIUe7fL38rsClwiAg1Q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B3:B4"/>
    <mergeCell ref="E3:I3"/>
    <mergeCell ref="C4:D4"/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G30"/>
  <sheetViews>
    <sheetView workbookViewId="0">
      <selection activeCell="C19" sqref="C19"/>
    </sheetView>
  </sheetViews>
  <sheetFormatPr defaultRowHeight="15" x14ac:dyDescent="0.25"/>
  <cols>
    <col min="1" max="1" width="9.140625" style="19"/>
    <col min="2" max="2" width="39.85546875" style="19" bestFit="1" customWidth="1"/>
    <col min="3" max="3" width="19.140625" style="19" bestFit="1" customWidth="1"/>
    <col min="4" max="7" width="16" style="19" bestFit="1" customWidth="1"/>
    <col min="8" max="16384" width="9.140625" style="19"/>
  </cols>
  <sheetData>
    <row r="3" spans="2:7" ht="18.75" x14ac:dyDescent="0.25">
      <c r="B3" s="53" t="s">
        <v>588</v>
      </c>
      <c r="C3" s="54" t="e">
        <f>pop_1</f>
        <v>#REF!</v>
      </c>
      <c r="D3" s="54" t="e">
        <f>pop_2</f>
        <v>#REF!</v>
      </c>
      <c r="E3" s="54" t="e">
        <f>pop_3</f>
        <v>#REF!</v>
      </c>
      <c r="F3" s="54" t="e">
        <f>Pop_4</f>
        <v>#REF!</v>
      </c>
      <c r="G3" s="54" t="e">
        <f>pop_5</f>
        <v>#REF!</v>
      </c>
    </row>
    <row r="5" spans="2:7" x14ac:dyDescent="0.25">
      <c r="B5" s="19" t="s">
        <v>562</v>
      </c>
      <c r="C5" s="21">
        <f>BHU_Cost!C6</f>
        <v>36000</v>
      </c>
      <c r="D5" s="21">
        <f>BHU_Cost!D6</f>
        <v>36000</v>
      </c>
      <c r="E5" s="21">
        <f>BHU_Cost!E6</f>
        <v>36000</v>
      </c>
      <c r="F5" s="21">
        <f>BHU_Cost!F6</f>
        <v>36000</v>
      </c>
      <c r="G5" s="21" t="e">
        <f>BHU_Cost!#REF!</f>
        <v>#REF!</v>
      </c>
    </row>
    <row r="6" spans="2:7" x14ac:dyDescent="0.25">
      <c r="B6" s="19" t="s">
        <v>584</v>
      </c>
      <c r="C6" s="19" t="e">
        <f>BHU_Cost!C9-Operating_Exp!$D$7</f>
        <v>#REF!</v>
      </c>
      <c r="D6" s="19" t="e">
        <f>BHU_Cost!D9-Operating_Exp!$D$7</f>
        <v>#REF!</v>
      </c>
      <c r="E6" s="19" t="e">
        <f>BHU_Cost!E9-Operating_Exp!$D$7</f>
        <v>#REF!</v>
      </c>
      <c r="F6" s="19" t="e">
        <f>BHU_Cost!F9-Operating_Exp!$D$7</f>
        <v>#REF!</v>
      </c>
      <c r="G6" s="19" t="e">
        <f>BHU_Cost!#REF!-Operating_Exp!$D$7</f>
        <v>#REF!</v>
      </c>
    </row>
    <row r="7" spans="2:7" x14ac:dyDescent="0.25">
      <c r="B7" s="19" t="s">
        <v>631</v>
      </c>
      <c r="C7" s="22" t="e">
        <f>SUM(C5:C6)</f>
        <v>#REF!</v>
      </c>
      <c r="D7" s="22" t="e">
        <f t="shared" ref="D7:G7" si="0">SUM(D5:D6)</f>
        <v>#REF!</v>
      </c>
      <c r="E7" s="22" t="e">
        <f t="shared" si="0"/>
        <v>#REF!</v>
      </c>
      <c r="F7" s="22" t="e">
        <f t="shared" si="0"/>
        <v>#REF!</v>
      </c>
      <c r="G7" s="22" t="e">
        <f t="shared" si="0"/>
        <v>#REF!</v>
      </c>
    </row>
    <row r="9" spans="2:7" x14ac:dyDescent="0.25">
      <c r="B9" s="19" t="s">
        <v>635</v>
      </c>
      <c r="C9" s="21">
        <f>Summary_Intervention!$F$5</f>
        <v>367.32360000000006</v>
      </c>
      <c r="D9" s="21">
        <f>Summary_Intervention!$F$5</f>
        <v>367.32360000000006</v>
      </c>
      <c r="E9" s="21">
        <f>Summary_Intervention!$F$5</f>
        <v>367.32360000000006</v>
      </c>
      <c r="F9" s="21">
        <f>Summary_Intervention!$F$5</f>
        <v>367.32360000000006</v>
      </c>
      <c r="G9" s="21">
        <f>Summary_Intervention!$F$5</f>
        <v>367.32360000000006</v>
      </c>
    </row>
    <row r="10" spans="2:7" x14ac:dyDescent="0.25">
      <c r="B10" s="19" t="s">
        <v>636</v>
      </c>
      <c r="C10" s="21">
        <f>Summary_Intervention!$F$7</f>
        <v>167.04000000000002</v>
      </c>
      <c r="D10" s="21">
        <f>Summary_Intervention!$F$7</f>
        <v>167.04000000000002</v>
      </c>
      <c r="E10" s="21">
        <f>Summary_Intervention!$F$7</f>
        <v>167.04000000000002</v>
      </c>
      <c r="F10" s="21">
        <f>Summary_Intervention!$F$7</f>
        <v>167.04000000000002</v>
      </c>
      <c r="G10" s="21">
        <f>Summary_Intervention!$F$7</f>
        <v>167.04000000000002</v>
      </c>
    </row>
    <row r="11" spans="2:7" x14ac:dyDescent="0.25">
      <c r="B11" s="19" t="s">
        <v>634</v>
      </c>
      <c r="C11" s="21" t="e">
        <f>Summary_Intervention!#REF!</f>
        <v>#REF!</v>
      </c>
      <c r="D11" s="21" t="e">
        <f>Summary_Intervention!#REF!</f>
        <v>#REF!</v>
      </c>
      <c r="E11" s="21" t="e">
        <f>Summary_Intervention!#REF!</f>
        <v>#REF!</v>
      </c>
      <c r="F11" s="21" t="e">
        <f>Summary_Intervention!#REF!</f>
        <v>#REF!</v>
      </c>
      <c r="G11" s="21" t="e">
        <f>Summary_Intervention!#REF!</f>
        <v>#REF!</v>
      </c>
    </row>
    <row r="12" spans="2:7" x14ac:dyDescent="0.25">
      <c r="B12" s="19" t="s">
        <v>637</v>
      </c>
      <c r="C12" s="21" t="e">
        <f>Summary_Intervention!#REF!</f>
        <v>#REF!</v>
      </c>
      <c r="D12" s="21" t="e">
        <f>Summary_Intervention!#REF!</f>
        <v>#REF!</v>
      </c>
      <c r="E12" s="21" t="e">
        <f>Summary_Intervention!#REF!</f>
        <v>#REF!</v>
      </c>
      <c r="F12" s="21" t="e">
        <f>Summary_Intervention!#REF!</f>
        <v>#REF!</v>
      </c>
      <c r="G12" s="21" t="e">
        <f>Summary_Intervention!#REF!</f>
        <v>#REF!</v>
      </c>
    </row>
    <row r="13" spans="2:7" x14ac:dyDescent="0.25">
      <c r="B13" s="19" t="s">
        <v>638</v>
      </c>
      <c r="C13" s="21" t="e">
        <f>Summary_Intervention!#REF!</f>
        <v>#REF!</v>
      </c>
      <c r="D13" s="21" t="e">
        <f>Summary_Intervention!#REF!</f>
        <v>#REF!</v>
      </c>
      <c r="E13" s="21" t="e">
        <f>Summary_Intervention!#REF!</f>
        <v>#REF!</v>
      </c>
      <c r="F13" s="21" t="e">
        <f>Summary_Intervention!#REF!</f>
        <v>#REF!</v>
      </c>
      <c r="G13" s="21" t="e">
        <f>Summary_Intervention!#REF!</f>
        <v>#REF!</v>
      </c>
    </row>
    <row r="14" spans="2:7" x14ac:dyDescent="0.25">
      <c r="B14" s="19" t="s">
        <v>639</v>
      </c>
      <c r="C14" s="21" t="e">
        <f>Summary_Intervention!#REF!</f>
        <v>#REF!</v>
      </c>
      <c r="D14" s="21" t="e">
        <f>Summary_Intervention!#REF!</f>
        <v>#REF!</v>
      </c>
      <c r="E14" s="21" t="e">
        <f>Summary_Intervention!#REF!</f>
        <v>#REF!</v>
      </c>
      <c r="F14" s="21" t="e">
        <f>Summary_Intervention!#REF!</f>
        <v>#REF!</v>
      </c>
      <c r="G14" s="21" t="e">
        <f>Summary_Intervention!#REF!</f>
        <v>#REF!</v>
      </c>
    </row>
    <row r="15" spans="2:7" x14ac:dyDescent="0.25">
      <c r="B15" s="19" t="s">
        <v>640</v>
      </c>
      <c r="C15" s="21" t="e">
        <f>Summary_Intervention!#REF!</f>
        <v>#REF!</v>
      </c>
      <c r="D15" s="21" t="e">
        <f>Summary_Intervention!#REF!</f>
        <v>#REF!</v>
      </c>
      <c r="E15" s="21" t="e">
        <f>Summary_Intervention!#REF!</f>
        <v>#REF!</v>
      </c>
      <c r="F15" s="21" t="e">
        <f>Summary_Intervention!#REF!</f>
        <v>#REF!</v>
      </c>
      <c r="G15" s="21" t="e">
        <f>Summary_Intervention!#REF!</f>
        <v>#REF!</v>
      </c>
    </row>
    <row r="16" spans="2:7" x14ac:dyDescent="0.25">
      <c r="B16" s="19" t="s">
        <v>641</v>
      </c>
      <c r="C16" s="21" t="e">
        <f>(Summary_Intervention!$F$8+Summary_Intervention!#REF!)/2</f>
        <v>#REF!</v>
      </c>
      <c r="D16" s="21" t="e">
        <f>(Summary_Intervention!$F$8+Summary_Intervention!#REF!)/2</f>
        <v>#REF!</v>
      </c>
      <c r="E16" s="21" t="e">
        <f>(Summary_Intervention!$F$8+Summary_Intervention!#REF!)/2</f>
        <v>#REF!</v>
      </c>
      <c r="F16" s="21" t="e">
        <f>(Summary_Intervention!$F$8+Summary_Intervention!#REF!)/2</f>
        <v>#REF!</v>
      </c>
      <c r="G16" s="21" t="e">
        <f>(Summary_Intervention!$F$8+Summary_Intervention!#REF!)/2</f>
        <v>#REF!</v>
      </c>
    </row>
    <row r="17" spans="2:7" x14ac:dyDescent="0.25">
      <c r="B17" s="19" t="s">
        <v>642</v>
      </c>
      <c r="C17" s="21" t="e">
        <f>Summary_Intervention!#REF!</f>
        <v>#REF!</v>
      </c>
      <c r="D17" s="21" t="e">
        <f>Summary_Intervention!#REF!</f>
        <v>#REF!</v>
      </c>
      <c r="E17" s="21" t="e">
        <f>Summary_Intervention!#REF!</f>
        <v>#REF!</v>
      </c>
      <c r="F17" s="21" t="e">
        <f>Summary_Intervention!#REF!</f>
        <v>#REF!</v>
      </c>
      <c r="G17" s="21" t="e">
        <f>Summary_Intervention!#REF!</f>
        <v>#REF!</v>
      </c>
    </row>
    <row r="18" spans="2:7" x14ac:dyDescent="0.25">
      <c r="B18" s="19" t="s">
        <v>643</v>
      </c>
      <c r="C18" s="21">
        <f>Summary_Intervention!$F$9</f>
        <v>22.338999999999999</v>
      </c>
      <c r="D18" s="21">
        <f>Summary_Intervention!$F$9</f>
        <v>22.338999999999999</v>
      </c>
      <c r="E18" s="21">
        <f>Summary_Intervention!$F$9</f>
        <v>22.338999999999999</v>
      </c>
      <c r="F18" s="21">
        <f>Summary_Intervention!$F$9</f>
        <v>22.338999999999999</v>
      </c>
      <c r="G18" s="21">
        <f>Summary_Intervention!$F$9</f>
        <v>22.338999999999999</v>
      </c>
    </row>
    <row r="19" spans="2:7" x14ac:dyDescent="0.25">
      <c r="B19" s="19" t="s">
        <v>644</v>
      </c>
    </row>
    <row r="22" spans="2:7" x14ac:dyDescent="0.25">
      <c r="B22" s="19" t="s">
        <v>629</v>
      </c>
    </row>
    <row r="23" spans="2:7" x14ac:dyDescent="0.25">
      <c r="B23" s="19" t="s">
        <v>630</v>
      </c>
    </row>
    <row r="26" spans="2:7" x14ac:dyDescent="0.25">
      <c r="B26" s="19" t="s">
        <v>631</v>
      </c>
      <c r="C26" s="22">
        <f>C5</f>
        <v>36000</v>
      </c>
      <c r="D26" s="22">
        <f t="shared" ref="D26:G26" si="1">D5</f>
        <v>36000</v>
      </c>
      <c r="E26" s="22">
        <f t="shared" si="1"/>
        <v>36000</v>
      </c>
      <c r="F26" s="22">
        <f t="shared" si="1"/>
        <v>36000</v>
      </c>
      <c r="G26" s="22" t="e">
        <f t="shared" si="1"/>
        <v>#REF!</v>
      </c>
    </row>
    <row r="27" spans="2:7" x14ac:dyDescent="0.25">
      <c r="B27" s="19" t="s">
        <v>632</v>
      </c>
      <c r="C27" s="19">
        <f t="shared" ref="C27:G28" si="2">C9*C22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</row>
    <row r="28" spans="2:7" x14ac:dyDescent="0.25">
      <c r="B28" s="19" t="s">
        <v>633</v>
      </c>
      <c r="C28" s="19">
        <f t="shared" si="2"/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</row>
    <row r="30" spans="2:7" x14ac:dyDescent="0.25">
      <c r="B30" s="19" t="s">
        <v>8</v>
      </c>
      <c r="C30" s="22">
        <f>SUM(C26:C28)</f>
        <v>36000</v>
      </c>
      <c r="D30" s="22">
        <f t="shared" ref="D30:G30" si="3">SUM(D26:D28)</f>
        <v>36000</v>
      </c>
      <c r="E30" s="22">
        <f t="shared" si="3"/>
        <v>36000</v>
      </c>
      <c r="F30" s="22">
        <f t="shared" si="3"/>
        <v>36000</v>
      </c>
      <c r="G30" s="22" t="e">
        <f t="shared" si="3"/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3:H6"/>
  <sheetViews>
    <sheetView topLeftCell="A10" workbookViewId="0">
      <selection activeCell="L40" sqref="L40"/>
    </sheetView>
  </sheetViews>
  <sheetFormatPr defaultRowHeight="15" x14ac:dyDescent="0.25"/>
  <sheetData>
    <row r="3" spans="3:8" x14ac:dyDescent="0.25">
      <c r="C3" s="19" t="str">
        <f>BHU_Cost!B3</f>
        <v>Catchment Population</v>
      </c>
      <c r="D3" s="115" t="s">
        <v>610</v>
      </c>
      <c r="E3" s="115" t="s">
        <v>611</v>
      </c>
      <c r="F3" s="115" t="s">
        <v>612</v>
      </c>
      <c r="G3" s="115" t="s">
        <v>613</v>
      </c>
      <c r="H3" s="115" t="s">
        <v>614</v>
      </c>
    </row>
    <row r="4" spans="3:8" x14ac:dyDescent="0.25">
      <c r="C4" t="s">
        <v>591</v>
      </c>
      <c r="D4" s="21" t="e">
        <f>BHU_Cost!C14</f>
        <v>#REF!</v>
      </c>
      <c r="E4" s="21" t="e">
        <f>BHU_Cost!D14</f>
        <v>#REF!</v>
      </c>
      <c r="F4" s="21" t="e">
        <f>BHU_Cost!E14</f>
        <v>#REF!</v>
      </c>
      <c r="G4" s="21" t="e">
        <f>BHU_Cost!F14</f>
        <v>#REF!</v>
      </c>
      <c r="H4" s="21" t="e">
        <f>BHU_Cost!#REF!</f>
        <v>#REF!</v>
      </c>
    </row>
    <row r="5" spans="3:8" x14ac:dyDescent="0.25">
      <c r="C5" t="s">
        <v>608</v>
      </c>
      <c r="D5" s="21" t="e">
        <f>BHU_Cost!C23</f>
        <v>#REF!</v>
      </c>
      <c r="E5" s="21" t="e">
        <f>BHU_Cost!D23</f>
        <v>#REF!</v>
      </c>
      <c r="F5" s="21" t="e">
        <f>BHU_Cost!E23</f>
        <v>#REF!</v>
      </c>
      <c r="G5" s="21" t="e">
        <f>BHU_Cost!F23</f>
        <v>#REF!</v>
      </c>
      <c r="H5" s="21" t="e">
        <f>BHU_Cost!#REF!</f>
        <v>#REF!</v>
      </c>
    </row>
    <row r="6" spans="3:8" x14ac:dyDescent="0.25">
      <c r="C6" t="s">
        <v>609</v>
      </c>
      <c r="D6" s="21" t="e">
        <f>BHU_Cost!C24</f>
        <v>#REF!</v>
      </c>
      <c r="E6" s="21" t="e">
        <f>BHU_Cost!D24</f>
        <v>#REF!</v>
      </c>
      <c r="F6" s="21" t="e">
        <f>BHU_Cost!E24</f>
        <v>#REF!</v>
      </c>
      <c r="G6" s="21" t="e">
        <f>BHU_Cost!F24</f>
        <v>#REF!</v>
      </c>
      <c r="H6" s="21" t="e">
        <f>BHU_Cost!#REF!</f>
        <v>#REF!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E14"/>
  <sheetViews>
    <sheetView showGridLines="0" zoomScaleNormal="100" workbookViewId="0">
      <selection activeCell="E11" sqref="E11"/>
    </sheetView>
  </sheetViews>
  <sheetFormatPr defaultRowHeight="18.75" x14ac:dyDescent="0.3"/>
  <cols>
    <col min="1" max="1" width="9.140625" style="52"/>
    <col min="2" max="2" width="30.7109375" style="52" customWidth="1"/>
    <col min="3" max="4" width="14.5703125" style="52" bestFit="1" customWidth="1"/>
    <col min="5" max="5" width="70.5703125" style="52" customWidth="1"/>
    <col min="6" max="16384" width="9.140625" style="52"/>
  </cols>
  <sheetData>
    <row r="2" spans="2:5" x14ac:dyDescent="0.3">
      <c r="B2" s="178" t="s">
        <v>584</v>
      </c>
      <c r="C2" s="179"/>
      <c r="D2" s="179"/>
      <c r="E2" s="179"/>
    </row>
    <row r="3" spans="2:5" x14ac:dyDescent="0.3">
      <c r="B3" s="176" t="s">
        <v>579</v>
      </c>
      <c r="C3" s="178" t="s">
        <v>467</v>
      </c>
      <c r="D3" s="187"/>
      <c r="E3" s="176" t="s">
        <v>582</v>
      </c>
    </row>
    <row r="4" spans="2:5" x14ac:dyDescent="0.3">
      <c r="B4" s="177"/>
      <c r="C4" s="125" t="s">
        <v>580</v>
      </c>
      <c r="D4" s="125" t="s">
        <v>581</v>
      </c>
      <c r="E4" s="177"/>
    </row>
    <row r="5" spans="2:5" x14ac:dyDescent="0.3">
      <c r="B5" s="55" t="s">
        <v>593</v>
      </c>
      <c r="C5" s="56">
        <v>1000</v>
      </c>
      <c r="D5" s="56">
        <f>C5*12</f>
        <v>12000</v>
      </c>
      <c r="E5" s="57" t="s">
        <v>578</v>
      </c>
    </row>
    <row r="6" spans="2:5" x14ac:dyDescent="0.3">
      <c r="B6" s="55" t="s">
        <v>569</v>
      </c>
      <c r="C6" s="56">
        <v>800</v>
      </c>
      <c r="D6" s="56">
        <f>C6*12</f>
        <v>9600</v>
      </c>
      <c r="E6" s="57" t="s">
        <v>669</v>
      </c>
    </row>
    <row r="7" spans="2:5" x14ac:dyDescent="0.3">
      <c r="B7" s="55" t="s">
        <v>571</v>
      </c>
      <c r="C7" s="56">
        <f>D7/12</f>
        <v>812.50000000000011</v>
      </c>
      <c r="D7" s="56">
        <f>Equipment!G25</f>
        <v>9750.0000000000018</v>
      </c>
      <c r="E7" s="46" t="s">
        <v>668</v>
      </c>
    </row>
    <row r="8" spans="2:5" x14ac:dyDescent="0.3">
      <c r="B8" s="125"/>
      <c r="C8" s="124">
        <f>SUM(C5:C7)</f>
        <v>2612.5</v>
      </c>
      <c r="D8" s="124">
        <f>SUM(D5:D7)</f>
        <v>31350</v>
      </c>
      <c r="E8" s="125"/>
    </row>
    <row r="10" spans="2:5" x14ac:dyDescent="0.3">
      <c r="B10" s="189" t="s">
        <v>583</v>
      </c>
      <c r="C10" s="190"/>
      <c r="D10" s="154">
        <f>D8/(Staff_cost!F30+Staff_cost!F31)</f>
        <v>0.87083333333333335</v>
      </c>
    </row>
    <row r="11" spans="2:5" ht="21.75" customHeight="1" x14ac:dyDescent="0.3"/>
    <row r="12" spans="2:5" hidden="1" x14ac:dyDescent="0.3">
      <c r="B12" s="52" t="s">
        <v>600</v>
      </c>
      <c r="D12" s="111">
        <f>D8-D5</f>
        <v>19350</v>
      </c>
    </row>
    <row r="14" spans="2:5" x14ac:dyDescent="0.3">
      <c r="D14" s="111"/>
    </row>
  </sheetData>
  <sheetProtection algorithmName="SHA-512" hashValue="cFqb3yPA+0nzI0e72IDHrtbQ+j5L9a7+jO9AebzeaKnG/UqWNLNCIQbrbza2C6Fs68dsICaK3Ajn3MbWLWp3Zw==" saltValue="XmckiVvyOaxtpMgPq22AvQ==" spinCount="100000" sheet="1" objects="1" scenarios="1" formatCells="0" formatColumns="0" formatRows="0" insertColumns="0" insertRows="0" insertHyperlinks="0" deleteColumns="0" deleteRows="0" sort="0" autoFilter="0" pivotTables="0"/>
  <mergeCells count="5">
    <mergeCell ref="B10:C10"/>
    <mergeCell ref="B2:E2"/>
    <mergeCell ref="E3:E4"/>
    <mergeCell ref="C3:D3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53"/>
  <sheetViews>
    <sheetView showGridLines="0" zoomScale="115" zoomScaleNormal="115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5" width="9.85546875" style="61" customWidth="1"/>
    <col min="6" max="6" width="9.140625" style="61"/>
    <col min="7" max="7" width="9.85546875" style="61" customWidth="1"/>
    <col min="8" max="8" width="11.7109375" style="61" customWidth="1"/>
    <col min="9" max="9" width="9.140625" style="61"/>
    <col min="10" max="10" width="0" style="61" hidden="1" customWidth="1"/>
    <col min="11" max="16384" width="9.140625" style="61"/>
  </cols>
  <sheetData>
    <row r="1" spans="2:10" x14ac:dyDescent="0.25">
      <c r="B1" s="60" t="s">
        <v>699</v>
      </c>
    </row>
    <row r="3" spans="2:10" ht="15.75" x14ac:dyDescent="0.25">
      <c r="B3" s="191" t="s">
        <v>161</v>
      </c>
      <c r="C3" s="191"/>
      <c r="D3" s="191"/>
      <c r="E3" s="191"/>
      <c r="F3" s="191"/>
      <c r="G3" s="191"/>
      <c r="H3" s="191"/>
    </row>
    <row r="4" spans="2:10" ht="15" customHeight="1" x14ac:dyDescent="0.25">
      <c r="B4" s="192" t="s">
        <v>0</v>
      </c>
      <c r="C4" s="194" t="s">
        <v>5</v>
      </c>
      <c r="D4" s="194"/>
      <c r="E4" s="194" t="s">
        <v>6</v>
      </c>
      <c r="F4" s="194" t="s">
        <v>3</v>
      </c>
      <c r="G4" s="194"/>
      <c r="H4" s="194" t="s">
        <v>9</v>
      </c>
    </row>
    <row r="5" spans="2:10" x14ac:dyDescent="0.25">
      <c r="B5" s="193"/>
      <c r="C5" s="147" t="s">
        <v>4</v>
      </c>
      <c r="D5" s="147" t="s">
        <v>7</v>
      </c>
      <c r="E5" s="194"/>
      <c r="F5" s="147" t="s">
        <v>8</v>
      </c>
      <c r="G5" s="147" t="s">
        <v>2</v>
      </c>
      <c r="H5" s="194"/>
    </row>
    <row r="6" spans="2:10" x14ac:dyDescent="0.25">
      <c r="B6" s="69" t="s">
        <v>18</v>
      </c>
      <c r="C6" s="65">
        <v>1</v>
      </c>
      <c r="D6" s="65">
        <v>1</v>
      </c>
      <c r="E6" s="65">
        <v>1</v>
      </c>
      <c r="F6" s="65">
        <f t="shared" ref="F6:F15" si="0">C6*D6*E6</f>
        <v>1</v>
      </c>
      <c r="G6" s="66">
        <f>IF(F6=0,"",(VLOOKUP($B$6:$B$15,Drugs_list!$C$9:$K$172,7,FALSE)))</f>
        <v>10.44</v>
      </c>
      <c r="H6" s="66">
        <f>IF(F6=0,"",(F6*G6))</f>
        <v>10.44</v>
      </c>
      <c r="J6" s="61" t="str">
        <f>VLOOKUP($B$6:$B$15,Drugs_list!$C$9:$K$172,9,FALSE)</f>
        <v>1dose</v>
      </c>
    </row>
    <row r="7" spans="2:10" x14ac:dyDescent="0.25">
      <c r="B7" s="69" t="s">
        <v>304</v>
      </c>
      <c r="C7" s="65">
        <f>30*6</f>
        <v>180</v>
      </c>
      <c r="D7" s="65">
        <v>1</v>
      </c>
      <c r="E7" s="65">
        <v>1</v>
      </c>
      <c r="F7" s="65">
        <f t="shared" si="0"/>
        <v>180</v>
      </c>
      <c r="G7" s="66">
        <f>IF(F7=0,"",(VLOOKUP($B$6:$B$15,Drugs_list!$C$9:$K$172,7,FALSE)))</f>
        <v>1.8560000000000001</v>
      </c>
      <c r="H7" s="66">
        <f t="shared" ref="H7:H15" si="1">IF(F7=0,"",(F7*G7))</f>
        <v>334.08000000000004</v>
      </c>
      <c r="J7" s="61" t="str">
        <f>VLOOKUP($B$6:$B$15,Drugs_list!$C$9:$K$172,9,FALSE)</f>
        <v>1capsule</v>
      </c>
    </row>
    <row r="8" spans="2:10" x14ac:dyDescent="0.25">
      <c r="B8" s="69" t="s">
        <v>403</v>
      </c>
      <c r="C8" s="65">
        <v>1</v>
      </c>
      <c r="D8" s="65">
        <v>1</v>
      </c>
      <c r="E8" s="65">
        <v>5</v>
      </c>
      <c r="F8" s="65">
        <f t="shared" si="0"/>
        <v>5</v>
      </c>
      <c r="G8" s="66">
        <f>IF(F8=0,"",(VLOOKUP($B$6:$B$15,Drugs_list!$C$9:$K$172,7,FALSE)))</f>
        <v>0.39672000000000002</v>
      </c>
      <c r="H8" s="66">
        <f t="shared" si="1"/>
        <v>1.9836</v>
      </c>
      <c r="J8" s="61" t="str">
        <f>VLOOKUP($B$6:$B$15,Drugs_list!$C$9:$K$172,9,FALSE)</f>
        <v>1tab</v>
      </c>
    </row>
    <row r="9" spans="2:10" x14ac:dyDescent="0.25">
      <c r="B9" s="69"/>
      <c r="C9" s="65"/>
      <c r="D9" s="65"/>
      <c r="E9" s="65"/>
      <c r="F9" s="65">
        <f t="shared" si="0"/>
        <v>0</v>
      </c>
      <c r="G9" s="66" t="str">
        <f>IF(F9=0,"",(VLOOKUP($B$6:$B$15,Drugs_list!$C$9:$K$172,7,FALSE)))</f>
        <v/>
      </c>
      <c r="H9" s="66" t="str">
        <f t="shared" si="1"/>
        <v/>
      </c>
      <c r="J9" s="61" t="e">
        <f>VLOOKUP($B$6:$B$15,Drugs_list!$C$9:$K$172,9,FALSE)</f>
        <v>#N/A</v>
      </c>
    </row>
    <row r="10" spans="2:10" x14ac:dyDescent="0.25">
      <c r="B10" s="69"/>
      <c r="C10" s="65"/>
      <c r="D10" s="65"/>
      <c r="E10" s="65"/>
      <c r="F10" s="65">
        <f t="shared" si="0"/>
        <v>0</v>
      </c>
      <c r="G10" s="66" t="str">
        <f>IF(F10=0,"",(VLOOKUP($B$6:$B$15,Drugs_list!$C$9:$K$172,7,FALSE)))</f>
        <v/>
      </c>
      <c r="H10" s="66" t="str">
        <f t="shared" si="1"/>
        <v/>
      </c>
      <c r="J10" s="61" t="e">
        <f>VLOOKUP($B$6:$B$15,Drugs_list!$C$9:$K$172,9,FALSE)</f>
        <v>#N/A</v>
      </c>
    </row>
    <row r="11" spans="2:10" x14ac:dyDescent="0.25">
      <c r="B11" s="69"/>
      <c r="C11" s="65"/>
      <c r="D11" s="65"/>
      <c r="E11" s="65"/>
      <c r="F11" s="65">
        <f t="shared" si="0"/>
        <v>0</v>
      </c>
      <c r="G11" s="66" t="str">
        <f>IF(F11=0,"",(VLOOKUP($B$6:$B$15,Drugs_list!$C$9:$K$172,7,FALSE)))</f>
        <v/>
      </c>
      <c r="H11" s="66" t="str">
        <f t="shared" si="1"/>
        <v/>
      </c>
      <c r="J11" s="61" t="e">
        <f>VLOOKUP($B$6:$B$15,Drugs_list!$C$9:$K$172,9,FALSE)</f>
        <v>#N/A</v>
      </c>
    </row>
    <row r="12" spans="2:10" x14ac:dyDescent="0.25">
      <c r="B12" s="69"/>
      <c r="C12" s="65"/>
      <c r="D12" s="65"/>
      <c r="E12" s="65"/>
      <c r="F12" s="65">
        <f t="shared" si="0"/>
        <v>0</v>
      </c>
      <c r="G12" s="66" t="str">
        <f>IF(F12=0,"",(VLOOKUP($B$6:$B$15,Drugs_list!$C$9:$K$172,7,FALSE)))</f>
        <v/>
      </c>
      <c r="H12" s="66" t="str">
        <f t="shared" si="1"/>
        <v/>
      </c>
      <c r="J12" s="61" t="e">
        <f>VLOOKUP($B$6:$B$15,Drugs_list!$C$9:$K$172,9,FALSE)</f>
        <v>#N/A</v>
      </c>
    </row>
    <row r="13" spans="2:10" x14ac:dyDescent="0.25">
      <c r="B13" s="69"/>
      <c r="C13" s="65"/>
      <c r="D13" s="65"/>
      <c r="E13" s="65"/>
      <c r="F13" s="65">
        <f t="shared" si="0"/>
        <v>0</v>
      </c>
      <c r="G13" s="66" t="str">
        <f>IF(F13=0,"",(VLOOKUP($B$6:$B$15,Drugs_list!$C$9:$K$172,7,FALSE)))</f>
        <v/>
      </c>
      <c r="H13" s="66" t="str">
        <f t="shared" si="1"/>
        <v/>
      </c>
      <c r="J13" s="61" t="e">
        <f>VLOOKUP($B$6:$B$15,Drugs_list!$C$9:$K$172,9,FALSE)</f>
        <v>#N/A</v>
      </c>
    </row>
    <row r="14" spans="2:10" x14ac:dyDescent="0.25">
      <c r="B14" s="69"/>
      <c r="C14" s="65"/>
      <c r="D14" s="65"/>
      <c r="E14" s="65"/>
      <c r="F14" s="65">
        <f t="shared" si="0"/>
        <v>0</v>
      </c>
      <c r="G14" s="66" t="str">
        <f>IF(F14=0,"",(VLOOKUP($B$6:$B$15,Drugs_list!$C$9:$K$172,7,FALSE)))</f>
        <v/>
      </c>
      <c r="H14" s="66" t="str">
        <f t="shared" si="1"/>
        <v/>
      </c>
      <c r="J14" s="61" t="e">
        <f>VLOOKUP($B$6:$B$15,Drugs_list!$C$9:$K$172,9,FALSE)</f>
        <v>#N/A</v>
      </c>
    </row>
    <row r="15" spans="2:10" x14ac:dyDescent="0.25">
      <c r="B15" s="69"/>
      <c r="C15" s="65"/>
      <c r="D15" s="65"/>
      <c r="E15" s="65"/>
      <c r="F15" s="65">
        <f t="shared" si="0"/>
        <v>0</v>
      </c>
      <c r="G15" s="66" t="str">
        <f>IF(F15=0,"",(VLOOKUP($B$6:$B$15,Drugs_list!$C$9:$K$172,7,FALSE)))</f>
        <v/>
      </c>
      <c r="H15" s="66" t="str">
        <f t="shared" si="1"/>
        <v/>
      </c>
      <c r="J15" s="61" t="e">
        <f>VLOOKUP($B$6:$B$15,Drugs_list!$C$9:$K$172,9,FALSE)</f>
        <v>#N/A</v>
      </c>
    </row>
    <row r="16" spans="2:10" x14ac:dyDescent="0.25">
      <c r="B16" s="149" t="s">
        <v>8</v>
      </c>
      <c r="C16" s="156"/>
      <c r="D16" s="156"/>
      <c r="E16" s="156"/>
      <c r="F16" s="156"/>
      <c r="G16" s="156"/>
      <c r="H16" s="150">
        <f>SUM(H6:H15)</f>
        <v>346.50360000000006</v>
      </c>
    </row>
    <row r="19" spans="2:5" ht="15.75" x14ac:dyDescent="0.25">
      <c r="B19" s="157" t="s">
        <v>162</v>
      </c>
      <c r="C19" s="157"/>
      <c r="D19" s="157"/>
      <c r="E19" s="157"/>
    </row>
    <row r="20" spans="2:5" ht="15" customHeight="1" x14ac:dyDescent="0.25">
      <c r="B20" s="158" t="s">
        <v>0</v>
      </c>
      <c r="C20" s="147" t="s">
        <v>1</v>
      </c>
      <c r="D20" s="147" t="s">
        <v>159</v>
      </c>
      <c r="E20" s="147" t="s">
        <v>160</v>
      </c>
    </row>
    <row r="21" spans="2:5" x14ac:dyDescent="0.25">
      <c r="B21" s="69" t="s">
        <v>487</v>
      </c>
      <c r="C21" s="65">
        <v>1</v>
      </c>
      <c r="D21" s="65">
        <f>IF(C21="","",(VLOOKUP($B$21:$B$30,Supplies_list!$C$8:$G$64,5,FALSE)))</f>
        <v>4.4219999999999997</v>
      </c>
      <c r="E21" s="65">
        <f>IF(C21=0,"",(C21*D21))</f>
        <v>4.4219999999999997</v>
      </c>
    </row>
    <row r="22" spans="2:5" x14ac:dyDescent="0.25">
      <c r="B22" s="69" t="s">
        <v>647</v>
      </c>
      <c r="C22" s="65">
        <v>1</v>
      </c>
      <c r="D22" s="65">
        <f>IF(C22="","",(VLOOKUP($B$21:$B$30,Supplies_list!$C$8:$G$64,5,FALSE)))</f>
        <v>3.4980000000000002</v>
      </c>
      <c r="E22" s="65">
        <f t="shared" ref="E22:E30" si="2">IF(C22=0,"",(C22*D22))</f>
        <v>3.4980000000000002</v>
      </c>
    </row>
    <row r="23" spans="2:5" x14ac:dyDescent="0.25">
      <c r="B23" s="69" t="s">
        <v>306</v>
      </c>
      <c r="C23" s="65">
        <v>1</v>
      </c>
      <c r="D23" s="65">
        <f>IF(C23="","",(VLOOKUP($B$21:$B$30,Supplies_list!$C$8:$G$64,5,FALSE)))</f>
        <v>4.4000000000000004</v>
      </c>
      <c r="E23" s="65">
        <f t="shared" si="2"/>
        <v>4.4000000000000004</v>
      </c>
    </row>
    <row r="24" spans="2:5" x14ac:dyDescent="0.25">
      <c r="B24" s="69"/>
      <c r="C24" s="65"/>
      <c r="D24" s="65" t="str">
        <f>IF(C24="","",(VLOOKUP($B$21:$B$30,Supplies_list!$C$8:$G$64,5,FALSE)))</f>
        <v/>
      </c>
      <c r="E24" s="65" t="str">
        <f t="shared" si="2"/>
        <v/>
      </c>
    </row>
    <row r="25" spans="2:5" x14ac:dyDescent="0.25">
      <c r="B25" s="69"/>
      <c r="C25" s="65"/>
      <c r="D25" s="65" t="str">
        <f>IF(C25="","",(VLOOKUP($B$21:$B$30,Supplies_list!$C$8:$G$64,5,FALSE)))</f>
        <v/>
      </c>
      <c r="E25" s="65" t="str">
        <f t="shared" si="2"/>
        <v/>
      </c>
    </row>
    <row r="26" spans="2:5" x14ac:dyDescent="0.25">
      <c r="B26" s="69"/>
      <c r="C26" s="65"/>
      <c r="D26" s="65" t="str">
        <f>IF(C26="","",(VLOOKUP($B$21:$B$30,Supplies_list!$C$8:$G$64,5,FALSE)))</f>
        <v/>
      </c>
      <c r="E26" s="65" t="str">
        <f t="shared" si="2"/>
        <v/>
      </c>
    </row>
    <row r="27" spans="2:5" x14ac:dyDescent="0.25">
      <c r="B27" s="69"/>
      <c r="C27" s="65"/>
      <c r="D27" s="65" t="str">
        <f>IF(C27="","",(VLOOKUP($B$21:$B$30,Supplies_list!$C$8:$G$64,5,FALSE)))</f>
        <v/>
      </c>
      <c r="E27" s="65" t="str">
        <f t="shared" si="2"/>
        <v/>
      </c>
    </row>
    <row r="28" spans="2:5" x14ac:dyDescent="0.25">
      <c r="B28" s="69"/>
      <c r="C28" s="65"/>
      <c r="D28" s="65" t="str">
        <f>IF(C28="","",(VLOOKUP($B$21:$B$30,Supplies_list!$C$8:$G$64,5,FALSE)))</f>
        <v/>
      </c>
      <c r="E28" s="65" t="str">
        <f t="shared" si="2"/>
        <v/>
      </c>
    </row>
    <row r="29" spans="2:5" x14ac:dyDescent="0.25">
      <c r="B29" s="69"/>
      <c r="C29" s="65"/>
      <c r="D29" s="65" t="str">
        <f>IF(C29="","",(VLOOKUP($B$21:$B$30,Supplies_list!$C$8:$G$64,5,FALSE)))</f>
        <v/>
      </c>
      <c r="E29" s="65" t="str">
        <f t="shared" si="2"/>
        <v/>
      </c>
    </row>
    <row r="30" spans="2:5" x14ac:dyDescent="0.25">
      <c r="B30" s="69"/>
      <c r="C30" s="65"/>
      <c r="D30" s="65" t="str">
        <f>IF(C30="","",(VLOOKUP($B$21:$B$30,Supplies_list!$C$8:$G$64,5,FALSE)))</f>
        <v/>
      </c>
      <c r="E30" s="65" t="str">
        <f t="shared" si="2"/>
        <v/>
      </c>
    </row>
    <row r="31" spans="2:5" x14ac:dyDescent="0.25">
      <c r="B31" s="149" t="s">
        <v>8</v>
      </c>
      <c r="C31" s="156"/>
      <c r="D31" s="156"/>
      <c r="E31" s="150">
        <f>SUM(E21:E30)</f>
        <v>12.32</v>
      </c>
    </row>
    <row r="35" spans="2:5" ht="15.75" x14ac:dyDescent="0.25">
      <c r="B35" s="157" t="s">
        <v>163</v>
      </c>
      <c r="C35" s="157"/>
      <c r="D35" s="157"/>
      <c r="E35" s="157"/>
    </row>
    <row r="36" spans="2:5" x14ac:dyDescent="0.25">
      <c r="B36" s="149" t="s">
        <v>0</v>
      </c>
      <c r="C36" s="147" t="s">
        <v>1</v>
      </c>
      <c r="D36" s="147" t="s">
        <v>159</v>
      </c>
      <c r="E36" s="147" t="s">
        <v>160</v>
      </c>
    </row>
    <row r="37" spans="2:5" x14ac:dyDescent="0.25">
      <c r="B37" s="69" t="s">
        <v>203</v>
      </c>
      <c r="C37" s="65">
        <v>1</v>
      </c>
      <c r="D37" s="65">
        <f>IF(B37="","",(VLOOKUP($B$37:$B$46,Lab_tests!$H$6:$I$47,2,FALSE)))</f>
        <v>8.5</v>
      </c>
      <c r="E37" s="65">
        <f>IF(C37=0,"",(C37*D37))</f>
        <v>8.5</v>
      </c>
    </row>
    <row r="38" spans="2:5" x14ac:dyDescent="0.25">
      <c r="B38" s="69"/>
      <c r="C38" s="65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9"/>
      <c r="C39" s="65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9"/>
      <c r="C40" s="65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9"/>
      <c r="C41" s="65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9"/>
      <c r="C42" s="65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9"/>
      <c r="C43" s="65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9"/>
      <c r="C44" s="65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9"/>
      <c r="C45" s="65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9"/>
      <c r="C46" s="65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49" t="s">
        <v>8</v>
      </c>
      <c r="C47" s="156"/>
      <c r="D47" s="156"/>
      <c r="E47" s="150">
        <f>SUM(E37:E46)</f>
        <v>8.5</v>
      </c>
    </row>
    <row r="49" spans="2:3" x14ac:dyDescent="0.25">
      <c r="B49" s="149" t="s">
        <v>0</v>
      </c>
      <c r="C49" s="147" t="s">
        <v>160</v>
      </c>
    </row>
    <row r="50" spans="2:3" x14ac:dyDescent="0.25">
      <c r="B50" s="69" t="s">
        <v>508</v>
      </c>
      <c r="C50" s="70">
        <f>ab</f>
        <v>346.50360000000006</v>
      </c>
    </row>
    <row r="51" spans="2:3" x14ac:dyDescent="0.25">
      <c r="B51" s="69" t="s">
        <v>148</v>
      </c>
      <c r="C51" s="70">
        <f>E31</f>
        <v>12.32</v>
      </c>
    </row>
    <row r="52" spans="2:3" x14ac:dyDescent="0.25">
      <c r="B52" s="69" t="s">
        <v>563</v>
      </c>
      <c r="C52" s="70">
        <f>E47</f>
        <v>8.5</v>
      </c>
    </row>
    <row r="53" spans="2:3" x14ac:dyDescent="0.25">
      <c r="B53" s="149" t="s">
        <v>8</v>
      </c>
      <c r="C53" s="159">
        <f>SUM(C50:C52)</f>
        <v>367.32360000000006</v>
      </c>
    </row>
  </sheetData>
  <sheetProtection sheet="1" objects="1" scenarios="1"/>
  <mergeCells count="6">
    <mergeCell ref="B3:H3"/>
    <mergeCell ref="B4:B5"/>
    <mergeCell ref="C4:D4"/>
    <mergeCell ref="E4:E5"/>
    <mergeCell ref="F4:G4"/>
    <mergeCell ref="H4:H5"/>
  </mergeCells>
  <pageMargins left="0.25" right="0.25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K47"/>
  <sheetViews>
    <sheetView showGridLines="0" workbookViewId="0">
      <selection activeCell="F12" sqref="F12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257</v>
      </c>
    </row>
    <row r="3" spans="2:11" ht="15.75" x14ac:dyDescent="0.25">
      <c r="B3" s="195" t="s">
        <v>161</v>
      </c>
      <c r="C3" s="195"/>
      <c r="D3" s="195"/>
      <c r="E3" s="195"/>
      <c r="F3" s="195"/>
      <c r="G3" s="195"/>
      <c r="H3" s="195"/>
      <c r="I3" s="195"/>
    </row>
    <row r="4" spans="2:11" ht="15" customHeight="1" x14ac:dyDescent="0.25">
      <c r="B4" s="196" t="s">
        <v>0</v>
      </c>
      <c r="C4" s="198" t="s">
        <v>5</v>
      </c>
      <c r="D4" s="198"/>
      <c r="E4" s="198" t="s">
        <v>6</v>
      </c>
      <c r="F4" s="199" t="s">
        <v>517</v>
      </c>
      <c r="G4" s="201" t="s">
        <v>3</v>
      </c>
      <c r="H4" s="202"/>
      <c r="I4" s="198" t="s">
        <v>9</v>
      </c>
    </row>
    <row r="5" spans="2:11" x14ac:dyDescent="0.25">
      <c r="B5" s="197"/>
      <c r="C5" s="7" t="s">
        <v>4</v>
      </c>
      <c r="D5" s="7" t="s">
        <v>7</v>
      </c>
      <c r="E5" s="198"/>
      <c r="F5" s="200"/>
      <c r="G5" s="7" t="s">
        <v>8</v>
      </c>
      <c r="H5" s="7" t="s">
        <v>2</v>
      </c>
      <c r="I5" s="198"/>
    </row>
    <row r="6" spans="2:11" x14ac:dyDescent="0.25">
      <c r="B6" s="31" t="s">
        <v>425</v>
      </c>
      <c r="C6" s="32">
        <v>1</v>
      </c>
      <c r="D6" s="32">
        <v>1</v>
      </c>
      <c r="E6" s="32">
        <v>1</v>
      </c>
      <c r="F6" s="38">
        <v>1</v>
      </c>
      <c r="G6" s="32">
        <f>C6*D6*E6*F6</f>
        <v>1</v>
      </c>
      <c r="H6" s="33">
        <f>IF(G6=0,"",(VLOOKUP($B$6:$B$15,Drugs_list!$C$9:$K$172,7,FALSE)))</f>
        <v>10.44</v>
      </c>
      <c r="I6" s="33">
        <f>IF(G6=0,"",(G6*H6))</f>
        <v>10.44</v>
      </c>
      <c r="K6" s="19" t="str">
        <f>VLOOKUP($B$6:$B$15,Drugs_list!$C$9:$K$172,9,FALSE)</f>
        <v>1inj</v>
      </c>
    </row>
    <row r="7" spans="2:11" x14ac:dyDescent="0.25">
      <c r="B7" s="31" t="s">
        <v>431</v>
      </c>
      <c r="C7" s="32">
        <v>1</v>
      </c>
      <c r="D7" s="32">
        <v>1</v>
      </c>
      <c r="E7" s="32">
        <v>1</v>
      </c>
      <c r="F7" s="38">
        <v>1</v>
      </c>
      <c r="G7" s="32">
        <f t="shared" ref="G7:G15" si="0">C7*D7*E7*F7</f>
        <v>1</v>
      </c>
      <c r="H7" s="33">
        <f>IF(G7=0,"",(VLOOKUP($B$6:$B$15,Drugs_list!$C$9:$K$172,7,FALSE)))</f>
        <v>1.6497777777777778</v>
      </c>
      <c r="I7" s="33">
        <f t="shared" ref="I7:I15" si="1">IF(G7=0,"",(G7*H7))</f>
        <v>1.6497777777777778</v>
      </c>
      <c r="K7" s="19" t="str">
        <f>VLOOKUP($B$6:$B$15,Drugs_list!$C$9:$K$172,9,FALSE)</f>
        <v>5ml</v>
      </c>
    </row>
    <row r="8" spans="2:11" x14ac:dyDescent="0.25">
      <c r="B8" s="31" t="s">
        <v>399</v>
      </c>
      <c r="C8" s="32">
        <v>1</v>
      </c>
      <c r="D8" s="32">
        <v>1</v>
      </c>
      <c r="E8" s="32">
        <v>2</v>
      </c>
      <c r="F8" s="38">
        <v>1</v>
      </c>
      <c r="G8" s="32">
        <f t="shared" si="0"/>
        <v>2</v>
      </c>
      <c r="H8" s="33">
        <f>IF(G8=0,"",(VLOOKUP($B$6:$B$15,Drugs_list!$C$9:$K$172,7,FALSE)))</f>
        <v>0.92800000000000005</v>
      </c>
      <c r="I8" s="33">
        <f t="shared" si="1"/>
        <v>1.8560000000000001</v>
      </c>
      <c r="K8" s="19" t="str">
        <f>VLOOKUP($B$6:$B$15,Drugs_list!$C$9:$K$172,9,FALSE)</f>
        <v>1ml</v>
      </c>
    </row>
    <row r="9" spans="2:11" x14ac:dyDescent="0.25">
      <c r="B9" s="31" t="s">
        <v>401</v>
      </c>
      <c r="C9" s="32">
        <v>1</v>
      </c>
      <c r="D9" s="32">
        <v>1</v>
      </c>
      <c r="E9" s="32">
        <v>1</v>
      </c>
      <c r="F9" s="38">
        <v>1</v>
      </c>
      <c r="G9" s="32">
        <f t="shared" si="0"/>
        <v>1</v>
      </c>
      <c r="H9" s="33">
        <f>IF(G9=0,"",(VLOOKUP($B$6:$B$15,Drugs_list!$C$9:$K$172,7,FALSE)))</f>
        <v>2.0880000000000001</v>
      </c>
      <c r="I9" s="33">
        <f t="shared" si="1"/>
        <v>2.0880000000000001</v>
      </c>
      <c r="K9" s="19" t="str">
        <f>VLOOKUP($B$6:$B$15,Drugs_list!$C$9:$K$172,9,FALSE)</f>
        <v>1ml</v>
      </c>
    </row>
    <row r="10" spans="2:11" x14ac:dyDescent="0.25">
      <c r="B10" s="31" t="s">
        <v>447</v>
      </c>
      <c r="C10" s="32">
        <v>1</v>
      </c>
      <c r="D10" s="32">
        <v>1</v>
      </c>
      <c r="E10" s="32">
        <v>1</v>
      </c>
      <c r="F10" s="38">
        <v>0.5</v>
      </c>
      <c r="G10" s="32">
        <f t="shared" si="0"/>
        <v>0.5</v>
      </c>
      <c r="H10" s="33">
        <f>IF(G10=0,"",(VLOOKUP($B$6:$B$15,Drugs_list!$C$9:$K$172,7,FALSE)))</f>
        <v>41.76</v>
      </c>
      <c r="I10" s="33">
        <f t="shared" si="1"/>
        <v>20.88</v>
      </c>
      <c r="K10" s="19" t="str">
        <f>VLOOKUP($B$6:$B$15,Drugs_list!$C$9:$K$172,9,FALSE)</f>
        <v>1000ml</v>
      </c>
    </row>
    <row r="11" spans="2:11" x14ac:dyDescent="0.25">
      <c r="B11" s="31" t="s">
        <v>20</v>
      </c>
      <c r="C11" s="32">
        <v>3</v>
      </c>
      <c r="D11" s="32">
        <v>4</v>
      </c>
      <c r="E11" s="32">
        <v>1</v>
      </c>
      <c r="F11" s="38">
        <v>1</v>
      </c>
      <c r="G11" s="32">
        <f t="shared" si="0"/>
        <v>12</v>
      </c>
      <c r="H11" s="33">
        <f>IF(G11=0,"",(VLOOKUP($B$6:$B$15,Drugs_list!$C$9:$K$172,7,FALSE)))</f>
        <v>0.52200000000000002</v>
      </c>
      <c r="I11" s="33">
        <f t="shared" si="1"/>
        <v>6.2640000000000002</v>
      </c>
      <c r="K11" s="19" t="str">
        <f>VLOOKUP($B$6:$B$15,Drugs_list!$C$9:$K$172,9,FALSE)</f>
        <v>1tab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43.177777777777784</v>
      </c>
    </row>
    <row r="19" spans="2:6" ht="15.75" x14ac:dyDescent="0.25">
      <c r="B19" s="195" t="s">
        <v>162</v>
      </c>
      <c r="C19" s="195"/>
      <c r="D19" s="195"/>
      <c r="E19" s="195"/>
      <c r="F19" s="195"/>
    </row>
    <row r="20" spans="2:6" ht="19.5" customHeight="1" x14ac:dyDescent="0.25">
      <c r="B20" s="12" t="s">
        <v>0</v>
      </c>
      <c r="C20" s="7" t="s">
        <v>1</v>
      </c>
      <c r="D20" s="7" t="s">
        <v>517</v>
      </c>
      <c r="E20" s="7" t="s">
        <v>159</v>
      </c>
      <c r="F20" s="7" t="s">
        <v>160</v>
      </c>
    </row>
    <row r="21" spans="2:6" x14ac:dyDescent="0.25">
      <c r="B21" s="31" t="s">
        <v>487</v>
      </c>
      <c r="C21" s="32">
        <v>1</v>
      </c>
      <c r="D21" s="38">
        <v>1</v>
      </c>
      <c r="E21" s="32">
        <f>IF(C21="","",(VLOOKUP($B$21:$B$30,Supplies_list!$C$8:$G$64,5,FALSE)))</f>
        <v>4.4219999999999997</v>
      </c>
      <c r="F21" s="32">
        <f>IF(C21="","",(C21*D21*E21))</f>
        <v>4.4219999999999997</v>
      </c>
    </row>
    <row r="22" spans="2:6" x14ac:dyDescent="0.25">
      <c r="B22" s="31" t="s">
        <v>503</v>
      </c>
      <c r="C22" s="32">
        <v>2</v>
      </c>
      <c r="D22" s="38">
        <v>1</v>
      </c>
      <c r="E22" s="32">
        <f>IF(C22="","",(VLOOKUP($B$21:$B$30,Supplies_list!$C$8:$G$64,5,FALSE)))</f>
        <v>4.4000000000000004</v>
      </c>
      <c r="F22" s="32">
        <f t="shared" ref="F22:F30" si="2">IF(C22="","",(C22*D22*E22))</f>
        <v>8.8000000000000007</v>
      </c>
    </row>
    <row r="23" spans="2:6" x14ac:dyDescent="0.25">
      <c r="B23" s="31" t="s">
        <v>149</v>
      </c>
      <c r="C23" s="32">
        <v>2</v>
      </c>
      <c r="D23" s="38">
        <v>1</v>
      </c>
      <c r="E23" s="32">
        <f>IF(C23="","",(VLOOKUP($B$21:$B$30,Supplies_list!$C$8:$G$64,5,FALSE)))</f>
        <v>3.3</v>
      </c>
      <c r="F23" s="32">
        <f t="shared" si="2"/>
        <v>6.6</v>
      </c>
    </row>
    <row r="24" spans="2:6" x14ac:dyDescent="0.25">
      <c r="B24" s="31" t="s">
        <v>516</v>
      </c>
      <c r="C24" s="36">
        <v>1</v>
      </c>
      <c r="D24" s="39">
        <v>0.5</v>
      </c>
      <c r="E24" s="32">
        <f>IF(C24="","",(VLOOKUP($B$21:$B$30,Supplies_list!$C$8:$G$64,5,FALSE)))</f>
        <v>48.583333333333329</v>
      </c>
      <c r="F24" s="32">
        <f t="shared" si="2"/>
        <v>24.291666666666664</v>
      </c>
    </row>
    <row r="25" spans="2:6" x14ac:dyDescent="0.25">
      <c r="B25" s="31" t="s">
        <v>485</v>
      </c>
      <c r="C25" s="32">
        <v>1</v>
      </c>
      <c r="D25" s="38">
        <v>0.5</v>
      </c>
      <c r="E25" s="32">
        <f>IF(C25="","",(VLOOKUP($B$21:$B$30,Supplies_list!$C$8:$G$64,5,FALSE)))</f>
        <v>3.3</v>
      </c>
      <c r="F25" s="32">
        <f t="shared" si="2"/>
        <v>1.65</v>
      </c>
    </row>
    <row r="26" spans="2:6" x14ac:dyDescent="0.25">
      <c r="B26" s="31" t="s">
        <v>518</v>
      </c>
      <c r="C26" s="32">
        <v>1</v>
      </c>
      <c r="D26" s="38">
        <v>1</v>
      </c>
      <c r="E26" s="32">
        <f>IF(C26="","",(VLOOKUP($B$21:$B$30,Supplies_list!$C$8:$G$64,5,FALSE)))</f>
        <v>55</v>
      </c>
      <c r="F26" s="32">
        <f t="shared" si="2"/>
        <v>55</v>
      </c>
    </row>
    <row r="27" spans="2:6" x14ac:dyDescent="0.25">
      <c r="B27" s="31" t="s">
        <v>158</v>
      </c>
      <c r="C27" s="32">
        <v>1</v>
      </c>
      <c r="D27" s="38">
        <v>0.5</v>
      </c>
      <c r="E27" s="32">
        <f>IF(C27="","",(VLOOKUP($B$21:$B$30,Supplies_list!$C$8:$G$64,5,FALSE)))</f>
        <v>60.5</v>
      </c>
      <c r="F27" s="32">
        <f t="shared" si="2"/>
        <v>30.25</v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131.01366666666667</v>
      </c>
    </row>
    <row r="35" spans="2:5" ht="15.75" x14ac:dyDescent="0.25">
      <c r="B35" s="195" t="s">
        <v>163</v>
      </c>
      <c r="C35" s="195"/>
      <c r="D35" s="195"/>
      <c r="E35" s="195"/>
    </row>
    <row r="36" spans="2:5" x14ac:dyDescent="0.25">
      <c r="B36" s="7" t="s">
        <v>0</v>
      </c>
      <c r="C36" s="7" t="s">
        <v>1</v>
      </c>
      <c r="D36" s="7" t="s">
        <v>159</v>
      </c>
      <c r="E36" s="7" t="s">
        <v>160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K53"/>
  <sheetViews>
    <sheetView showGridLines="0" topLeftCell="A19" zoomScaleNormal="100" workbookViewId="0">
      <selection activeCell="D29" sqref="D29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257</v>
      </c>
    </row>
    <row r="3" spans="2:11" ht="15.75" x14ac:dyDescent="0.25">
      <c r="B3" s="191" t="s">
        <v>161</v>
      </c>
      <c r="C3" s="191"/>
      <c r="D3" s="191"/>
      <c r="E3" s="191"/>
      <c r="F3" s="191"/>
      <c r="G3" s="191"/>
      <c r="H3" s="191"/>
      <c r="I3" s="191"/>
    </row>
    <row r="4" spans="2:11" ht="15" customHeight="1" x14ac:dyDescent="0.25">
      <c r="B4" s="203" t="s">
        <v>0</v>
      </c>
      <c r="C4" s="205" t="s">
        <v>5</v>
      </c>
      <c r="D4" s="205"/>
      <c r="E4" s="205" t="s">
        <v>6</v>
      </c>
      <c r="F4" s="206" t="s">
        <v>517</v>
      </c>
      <c r="G4" s="208" t="s">
        <v>3</v>
      </c>
      <c r="H4" s="209"/>
      <c r="I4" s="194" t="s">
        <v>9</v>
      </c>
    </row>
    <row r="5" spans="2:11" x14ac:dyDescent="0.25">
      <c r="B5" s="204"/>
      <c r="C5" s="167" t="s">
        <v>4</v>
      </c>
      <c r="D5" s="167" t="s">
        <v>7</v>
      </c>
      <c r="E5" s="205"/>
      <c r="F5" s="207"/>
      <c r="G5" s="166" t="s">
        <v>8</v>
      </c>
      <c r="H5" s="166" t="s">
        <v>2</v>
      </c>
      <c r="I5" s="194"/>
    </row>
    <row r="6" spans="2:11" x14ac:dyDescent="0.25">
      <c r="B6" s="62" t="s">
        <v>425</v>
      </c>
      <c r="C6" s="63">
        <v>1</v>
      </c>
      <c r="D6" s="63">
        <v>1</v>
      </c>
      <c r="E6" s="63">
        <v>1</v>
      </c>
      <c r="F6" s="64">
        <v>0.5</v>
      </c>
      <c r="G6" s="65">
        <f>C6*D6*E6*F6</f>
        <v>0.5</v>
      </c>
      <c r="H6" s="66">
        <f>IF(G6=0,"",(VLOOKUP($B$6:$B$15,[1]Drugs_list!$C$9:$K$172,7,FALSE)))</f>
        <v>10.44</v>
      </c>
      <c r="I6" s="66">
        <f>IF(G6=0,"",(G6*H6))</f>
        <v>5.22</v>
      </c>
      <c r="K6" s="61" t="str">
        <f>VLOOKUP($B$6:$B$15,[1]Drugs_list!$C$9:$K$172,9,FALSE)</f>
        <v>1inj</v>
      </c>
    </row>
    <row r="7" spans="2:11" x14ac:dyDescent="0.25">
      <c r="B7" s="62" t="s">
        <v>431</v>
      </c>
      <c r="C7" s="63">
        <v>1</v>
      </c>
      <c r="D7" s="63">
        <v>1</v>
      </c>
      <c r="E7" s="63">
        <v>1</v>
      </c>
      <c r="F7" s="64">
        <v>1</v>
      </c>
      <c r="G7" s="65">
        <f t="shared" ref="G7:G15" si="0">C7*D7*E7*F7</f>
        <v>1</v>
      </c>
      <c r="H7" s="66">
        <f>IF(G7=0,"",(VLOOKUP($B$6:$B$15,[1]Drugs_list!$C$9:$K$172,7,FALSE)))</f>
        <v>1.6497777777777778</v>
      </c>
      <c r="I7" s="66">
        <f t="shared" ref="I7:I15" si="1">IF(G7=0,"",(G7*H7))</f>
        <v>1.6497777777777778</v>
      </c>
      <c r="K7" s="61" t="str">
        <f>VLOOKUP($B$6:$B$15,[1]Drugs_list!$C$9:$K$172,9,FALSE)</f>
        <v>5ml</v>
      </c>
    </row>
    <row r="8" spans="2:11" x14ac:dyDescent="0.25">
      <c r="B8" s="69" t="s">
        <v>20</v>
      </c>
      <c r="C8" s="63">
        <v>3</v>
      </c>
      <c r="D8" s="63">
        <v>4</v>
      </c>
      <c r="E8" s="63">
        <v>1</v>
      </c>
      <c r="F8" s="64">
        <v>1</v>
      </c>
      <c r="G8" s="65">
        <f t="shared" si="0"/>
        <v>12</v>
      </c>
      <c r="H8" s="66">
        <f>IF(G8=0,"",(VLOOKUP($B$6:$B$15,[1]Drugs_list!$C$9:$K$172,7,FALSE)))</f>
        <v>0.52200000000000002</v>
      </c>
      <c r="I8" s="66">
        <f t="shared" si="1"/>
        <v>6.2640000000000002</v>
      </c>
      <c r="K8" s="61" t="str">
        <f>VLOOKUP($B$6:$B$15,[1]Drugs_list!$C$9:$K$172,9,FALSE)</f>
        <v>1tab</v>
      </c>
    </row>
    <row r="9" spans="2:11" x14ac:dyDescent="0.25">
      <c r="B9" s="69" t="s">
        <v>401</v>
      </c>
      <c r="C9" s="63">
        <v>1</v>
      </c>
      <c r="D9" s="63">
        <v>1</v>
      </c>
      <c r="E9" s="63">
        <v>1</v>
      </c>
      <c r="F9" s="64">
        <v>0.5</v>
      </c>
      <c r="G9" s="65">
        <f t="shared" si="0"/>
        <v>0.5</v>
      </c>
      <c r="H9" s="66">
        <f>IF(G9=0,"",(VLOOKUP($B$6:$B$15,[1]Drugs_list!$C$9:$K$172,7,FALSE)))</f>
        <v>2.0880000000000001</v>
      </c>
      <c r="I9" s="66">
        <f t="shared" si="1"/>
        <v>1.044</v>
      </c>
      <c r="K9" s="61" t="str">
        <f>VLOOKUP($B$6:$B$15,[1]Drugs_list!$C$9:$K$172,9,FALSE)</f>
        <v>1ml</v>
      </c>
    </row>
    <row r="10" spans="2:11" x14ac:dyDescent="0.25">
      <c r="B10" s="69" t="s">
        <v>399</v>
      </c>
      <c r="C10" s="63">
        <v>1</v>
      </c>
      <c r="D10" s="63">
        <v>1</v>
      </c>
      <c r="E10" s="63">
        <v>1</v>
      </c>
      <c r="F10" s="64">
        <v>1</v>
      </c>
      <c r="G10" s="65">
        <f t="shared" si="0"/>
        <v>1</v>
      </c>
      <c r="H10" s="66">
        <f>IF(G10=0,"",(VLOOKUP($B$6:$B$15,[1]Drugs_list!$C$9:$K$172,7,FALSE)))</f>
        <v>0.92800000000000005</v>
      </c>
      <c r="I10" s="66">
        <f t="shared" si="1"/>
        <v>0.92800000000000005</v>
      </c>
      <c r="K10" s="61" t="str">
        <f>VLOOKUP($B$6:$B$15,[1]Drugs_list!$C$9:$K$172,9,FALSE)</f>
        <v>1ml</v>
      </c>
    </row>
    <row r="11" spans="2:11" x14ac:dyDescent="0.25">
      <c r="B11" s="69" t="s">
        <v>441</v>
      </c>
      <c r="C11" s="63">
        <v>1</v>
      </c>
      <c r="D11" s="63">
        <v>1</v>
      </c>
      <c r="E11" s="63">
        <v>1</v>
      </c>
      <c r="F11" s="64">
        <v>0.35</v>
      </c>
      <c r="G11" s="66">
        <f t="shared" si="0"/>
        <v>0.35</v>
      </c>
      <c r="H11" s="66">
        <f>IF(G11=0,"",(VLOOKUP($B$6:$B$15,[1]Drugs_list!$C$9:$K$172,7,FALSE)))</f>
        <v>40.6</v>
      </c>
      <c r="I11" s="66">
        <f t="shared" ref="I11" si="2">IF(G11=0,"",(G11*H11))</f>
        <v>14.209999999999999</v>
      </c>
    </row>
    <row r="12" spans="2:11" x14ac:dyDescent="0.25">
      <c r="B12" s="69" t="s">
        <v>411</v>
      </c>
      <c r="C12" s="63">
        <v>1</v>
      </c>
      <c r="D12" s="63">
        <v>1</v>
      </c>
      <c r="E12" s="63">
        <v>1</v>
      </c>
      <c r="F12" s="64">
        <v>0.5</v>
      </c>
      <c r="G12" s="65">
        <f t="shared" si="0"/>
        <v>0.5</v>
      </c>
      <c r="H12" s="66">
        <f>IF(G12=0,"",(VLOOKUP($B$6:$B$15,[1]Drugs_list!$C$9:$K$172,7,FALSE)))</f>
        <v>22.600396</v>
      </c>
      <c r="I12" s="66">
        <f t="shared" si="1"/>
        <v>11.300198</v>
      </c>
      <c r="K12" s="61" t="str">
        <f>VLOOKUP($B$6:$B$15,[1]Drugs_list!$C$9:$K$172,9,FALSE)</f>
        <v>1tab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IF(G13=0,"",(VLOOKUP($B$6:$B$15,[1]Drugs_list!$C$9:$K$172,7,FALSE)))</f>
        <v/>
      </c>
      <c r="I13" s="66" t="str">
        <f t="shared" si="1"/>
        <v/>
      </c>
      <c r="K13" s="61" t="e">
        <f>VLOOKUP($B$6:$B$15,[1]Drugs_list!$C$9:$K$172,9,FALSE)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IF(G14=0,"",(VLOOKUP($B$6:$B$15,[1]Drugs_list!$C$9:$K$172,7,FALSE)))</f>
        <v/>
      </c>
      <c r="I14" s="66" t="str">
        <f t="shared" si="1"/>
        <v/>
      </c>
      <c r="K14" s="61" t="e">
        <f>VLOOKUP($B$6:$B$15,[1]Drugs_list!$C$9:$K$172,9,FALSE)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IF(G15=0,"",(VLOOKUP($B$6:$B$15,[1]Drugs_list!$C$9:$K$172,7,FALSE)))</f>
        <v/>
      </c>
      <c r="I15" s="66" t="str">
        <f t="shared" si="1"/>
        <v/>
      </c>
      <c r="K15" s="61" t="e">
        <f>VLOOKUP($B$6:$B$15,[1]Drugs_list!$C$9:$K$172,9,FALSE)</f>
        <v>#N/A</v>
      </c>
    </row>
    <row r="16" spans="2:11" x14ac:dyDescent="0.25">
      <c r="B16" s="149" t="s">
        <v>8</v>
      </c>
      <c r="C16" s="156"/>
      <c r="D16" s="156"/>
      <c r="E16" s="156"/>
      <c r="F16" s="156"/>
      <c r="G16" s="156"/>
      <c r="H16" s="156"/>
      <c r="I16" s="150">
        <f>SUM(I6:I15)</f>
        <v>40.615975777777777</v>
      </c>
    </row>
    <row r="19" spans="2:6" ht="15.75" x14ac:dyDescent="0.25">
      <c r="B19" s="191" t="s">
        <v>162</v>
      </c>
      <c r="C19" s="191"/>
      <c r="D19" s="191"/>
      <c r="E19" s="191"/>
      <c r="F19" s="191"/>
    </row>
    <row r="20" spans="2:6" ht="19.5" customHeight="1" x14ac:dyDescent="0.25">
      <c r="B20" s="158" t="s">
        <v>0</v>
      </c>
      <c r="C20" s="166" t="s">
        <v>1</v>
      </c>
      <c r="D20" s="166" t="s">
        <v>517</v>
      </c>
      <c r="E20" s="166" t="s">
        <v>159</v>
      </c>
      <c r="F20" s="166" t="s">
        <v>160</v>
      </c>
    </row>
    <row r="21" spans="2:6" x14ac:dyDescent="0.25">
      <c r="B21" s="62" t="s">
        <v>487</v>
      </c>
      <c r="C21" s="63">
        <v>2</v>
      </c>
      <c r="D21" s="64">
        <v>1</v>
      </c>
      <c r="E21" s="65">
        <f>IF(C21="","",(VLOOKUP($B$21:$B$30,[1]Supplies_list!$C$8:$G$64,5,FALSE)))</f>
        <v>4.4219999999999997</v>
      </c>
      <c r="F21" s="65">
        <f>IF(C21="","",(C21*D21*E21))</f>
        <v>8.8439999999999994</v>
      </c>
    </row>
    <row r="22" spans="2:6" x14ac:dyDescent="0.25">
      <c r="B22" s="62" t="s">
        <v>647</v>
      </c>
      <c r="C22" s="63">
        <v>3</v>
      </c>
      <c r="D22" s="64">
        <v>1</v>
      </c>
      <c r="E22" s="65">
        <f>IF(C22="","",(VLOOKUP($B$21:$B$30,[1]Supplies_list!$C$8:$G$64,5,FALSE)))</f>
        <v>3.4980000000000002</v>
      </c>
      <c r="F22" s="65">
        <f t="shared" ref="F22:F30" si="3">IF(C22="","",(C22*D22*E22))</f>
        <v>10.494</v>
      </c>
    </row>
    <row r="23" spans="2:6" x14ac:dyDescent="0.25">
      <c r="B23" s="62" t="s">
        <v>149</v>
      </c>
      <c r="C23" s="63">
        <v>2</v>
      </c>
      <c r="D23" s="64">
        <v>1</v>
      </c>
      <c r="E23" s="65">
        <f>IF(C23="","",(VLOOKUP($B$21:$B$30,[1]Supplies_list!$C$8:$G$64,5,FALSE)))</f>
        <v>3.3</v>
      </c>
      <c r="F23" s="65">
        <f t="shared" si="3"/>
        <v>6.6</v>
      </c>
    </row>
    <row r="24" spans="2:6" x14ac:dyDescent="0.25">
      <c r="B24" s="62" t="s">
        <v>516</v>
      </c>
      <c r="C24" s="67">
        <v>1</v>
      </c>
      <c r="D24" s="68">
        <v>0.5</v>
      </c>
      <c r="E24" s="65">
        <f>IF(C24="","",(VLOOKUP($B$21:$B$30,[1]Supplies_list!$C$8:$G$64,5,FALSE)))</f>
        <v>48.583333333333329</v>
      </c>
      <c r="F24" s="65">
        <f t="shared" si="3"/>
        <v>24.291666666666664</v>
      </c>
    </row>
    <row r="25" spans="2:6" x14ac:dyDescent="0.25">
      <c r="B25" s="62" t="s">
        <v>485</v>
      </c>
      <c r="C25" s="63">
        <v>1</v>
      </c>
      <c r="D25" s="64">
        <v>0.5</v>
      </c>
      <c r="E25" s="65">
        <f>IF(C25="","",(VLOOKUP($B$21:$B$30,[1]Supplies_list!$C$8:$G$64,5,FALSE)))</f>
        <v>3.3</v>
      </c>
      <c r="F25" s="65">
        <f t="shared" si="3"/>
        <v>1.65</v>
      </c>
    </row>
    <row r="26" spans="2:6" x14ac:dyDescent="0.25">
      <c r="B26" s="62" t="s">
        <v>518</v>
      </c>
      <c r="C26" s="63">
        <v>1</v>
      </c>
      <c r="D26" s="64">
        <v>1</v>
      </c>
      <c r="E26" s="65">
        <f>IF(C26="","",(VLOOKUP($B$21:$B$30,[1]Supplies_list!$C$8:$G$64,5,FALSE)))</f>
        <v>55</v>
      </c>
      <c r="F26" s="65">
        <f t="shared" si="3"/>
        <v>55</v>
      </c>
    </row>
    <row r="27" spans="2:6" x14ac:dyDescent="0.25">
      <c r="B27" s="62" t="s">
        <v>158</v>
      </c>
      <c r="C27" s="63">
        <v>1</v>
      </c>
      <c r="D27" s="64">
        <v>0.5</v>
      </c>
      <c r="E27" s="65">
        <f>IF(C27="","",(VLOOKUP($B$21:$B$30,[1]Supplies_list!$C$8:$G$64,5,FALSE)))</f>
        <v>60.5</v>
      </c>
      <c r="F27" s="65">
        <f t="shared" si="3"/>
        <v>30.25</v>
      </c>
    </row>
    <row r="28" spans="2:6" x14ac:dyDescent="0.25">
      <c r="B28" s="62" t="s">
        <v>306</v>
      </c>
      <c r="C28" s="63">
        <v>1</v>
      </c>
      <c r="D28" s="64">
        <v>1</v>
      </c>
      <c r="E28" s="65">
        <f>IF(C28="","",(VLOOKUP($B$21:$B$30,[1]Supplies_list!$C$8:$G$64,5,FALSE)))</f>
        <v>4.4000000000000004</v>
      </c>
      <c r="F28" s="65">
        <f t="shared" si="3"/>
        <v>4.4000000000000004</v>
      </c>
    </row>
    <row r="29" spans="2:6" x14ac:dyDescent="0.25">
      <c r="B29" s="62"/>
      <c r="C29" s="63"/>
      <c r="D29" s="64"/>
      <c r="E29" s="65" t="str">
        <f>IF(C29="","",(VLOOKUP($B$21:$B$30,[1]Supplies_list!$C$8:$G$64,5,FALSE)))</f>
        <v/>
      </c>
      <c r="F29" s="65" t="str">
        <f t="shared" si="3"/>
        <v/>
      </c>
    </row>
    <row r="30" spans="2:6" x14ac:dyDescent="0.25">
      <c r="B30" s="62"/>
      <c r="C30" s="63"/>
      <c r="D30" s="64"/>
      <c r="E30" s="65" t="str">
        <f>IF(C30="","",(VLOOKUP($B$21:$B$30,[1]Supplies_list!$C$8:$G$64,5,FALSE)))</f>
        <v/>
      </c>
      <c r="F30" s="65" t="str">
        <f t="shared" si="3"/>
        <v/>
      </c>
    </row>
    <row r="31" spans="2:6" x14ac:dyDescent="0.25">
      <c r="B31" s="149" t="s">
        <v>8</v>
      </c>
      <c r="C31" s="156"/>
      <c r="D31" s="156"/>
      <c r="E31" s="156"/>
      <c r="F31" s="150">
        <f>SUM(F21:F30)</f>
        <v>141.52966666666666</v>
      </c>
    </row>
    <row r="35" spans="2:5" ht="15.75" x14ac:dyDescent="0.25">
      <c r="B35" s="191" t="s">
        <v>163</v>
      </c>
      <c r="C35" s="191"/>
      <c r="D35" s="191"/>
      <c r="E35" s="191"/>
    </row>
    <row r="36" spans="2:5" x14ac:dyDescent="0.25">
      <c r="B36" s="166" t="s">
        <v>0</v>
      </c>
      <c r="C36" s="166" t="s">
        <v>1</v>
      </c>
      <c r="D36" s="166" t="s">
        <v>159</v>
      </c>
      <c r="E36" s="166" t="s">
        <v>160</v>
      </c>
    </row>
    <row r="37" spans="2:5" x14ac:dyDescent="0.25">
      <c r="B37" s="62"/>
      <c r="C37" s="63"/>
      <c r="D37" s="65" t="str">
        <f>IF(B37="","",(VLOOKUP($B$37:$B$46,[1]Lab_tests!$H$6:$I$47,2,FALSE)))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IF(B38="","",(VLOOKUP($B$37:$B$46,[1]Lab_tests!$H$6:$I$47,2,FALSE)))</f>
        <v/>
      </c>
      <c r="E38" s="65" t="str">
        <f t="shared" ref="E38:E46" si="4">IF(C38=0,"",(C38*D38))</f>
        <v/>
      </c>
    </row>
    <row r="39" spans="2:5" x14ac:dyDescent="0.25">
      <c r="B39" s="62"/>
      <c r="C39" s="63"/>
      <c r="D39" s="65" t="str">
        <f>IF(B39="","",(VLOOKUP($B$37:$B$46,[1]Lab_tests!$H$6:$I$47,2,FALSE)))</f>
        <v/>
      </c>
      <c r="E39" s="65" t="str">
        <f t="shared" si="4"/>
        <v/>
      </c>
    </row>
    <row r="40" spans="2:5" x14ac:dyDescent="0.25">
      <c r="B40" s="62"/>
      <c r="C40" s="63"/>
      <c r="D40" s="65" t="str">
        <f>IF(B40="","",(VLOOKUP($B$37:$B$46,[1]Lab_tests!$H$6:$I$47,2,FALSE)))</f>
        <v/>
      </c>
      <c r="E40" s="65" t="str">
        <f t="shared" si="4"/>
        <v/>
      </c>
    </row>
    <row r="41" spans="2:5" x14ac:dyDescent="0.25">
      <c r="B41" s="62"/>
      <c r="C41" s="63"/>
      <c r="D41" s="65" t="str">
        <f>IF(B41="","",(VLOOKUP($B$37:$B$46,[1]Lab_tests!$H$6:$I$47,2,FALSE)))</f>
        <v/>
      </c>
      <c r="E41" s="65" t="str">
        <f t="shared" si="4"/>
        <v/>
      </c>
    </row>
    <row r="42" spans="2:5" x14ac:dyDescent="0.25">
      <c r="B42" s="62"/>
      <c r="C42" s="63"/>
      <c r="D42" s="65" t="str">
        <f>IF(B42="","",(VLOOKUP($B$37:$B$46,[1]Lab_tests!$H$6:$I$47,2,FALSE)))</f>
        <v/>
      </c>
      <c r="E42" s="65" t="str">
        <f t="shared" si="4"/>
        <v/>
      </c>
    </row>
    <row r="43" spans="2:5" x14ac:dyDescent="0.25">
      <c r="B43" s="62"/>
      <c r="C43" s="63"/>
      <c r="D43" s="65" t="str">
        <f>IF(B43="","",(VLOOKUP($B$37:$B$46,[1]Lab_tests!$H$6:$I$47,2,FALSE)))</f>
        <v/>
      </c>
      <c r="E43" s="65" t="str">
        <f t="shared" si="4"/>
        <v/>
      </c>
    </row>
    <row r="44" spans="2:5" x14ac:dyDescent="0.25">
      <c r="B44" s="62"/>
      <c r="C44" s="63"/>
      <c r="D44" s="65" t="str">
        <f>IF(B44="","",(VLOOKUP($B$37:$B$46,[1]Lab_tests!$H$6:$I$47,2,FALSE)))</f>
        <v/>
      </c>
      <c r="E44" s="65" t="str">
        <f t="shared" si="4"/>
        <v/>
      </c>
    </row>
    <row r="45" spans="2:5" x14ac:dyDescent="0.25">
      <c r="B45" s="62"/>
      <c r="C45" s="63"/>
      <c r="D45" s="65" t="str">
        <f>IF(B45="","",(VLOOKUP($B$37:$B$46,[1]Lab_tests!$H$6:$I$47,2,FALSE)))</f>
        <v/>
      </c>
      <c r="E45" s="65" t="str">
        <f t="shared" si="4"/>
        <v/>
      </c>
    </row>
    <row r="46" spans="2:5" x14ac:dyDescent="0.25">
      <c r="B46" s="62"/>
      <c r="C46" s="63"/>
      <c r="D46" s="65" t="str">
        <f>IF(B46="","",(VLOOKUP($B$37:$B$46,[1]Lab_tests!$H$6:$I$47,2,FALSE)))</f>
        <v/>
      </c>
      <c r="E46" s="65" t="str">
        <f t="shared" si="4"/>
        <v/>
      </c>
    </row>
    <row r="47" spans="2:5" x14ac:dyDescent="0.25">
      <c r="B47" s="149" t="s">
        <v>8</v>
      </c>
      <c r="C47" s="156"/>
      <c r="D47" s="156"/>
      <c r="E47" s="150">
        <f>SUM(E37:E43)</f>
        <v>0</v>
      </c>
    </row>
    <row r="49" spans="2:3" x14ac:dyDescent="0.25">
      <c r="B49" s="149" t="s">
        <v>0</v>
      </c>
      <c r="C49" s="166" t="s">
        <v>160</v>
      </c>
    </row>
    <row r="50" spans="2:3" x14ac:dyDescent="0.25">
      <c r="B50" s="69" t="s">
        <v>508</v>
      </c>
      <c r="C50" s="70">
        <f>I16</f>
        <v>40.615975777777777</v>
      </c>
    </row>
    <row r="51" spans="2:3" x14ac:dyDescent="0.25">
      <c r="B51" s="69" t="s">
        <v>148</v>
      </c>
      <c r="C51" s="70">
        <f>F31</f>
        <v>141.52966666666666</v>
      </c>
    </row>
    <row r="52" spans="2:3" x14ac:dyDescent="0.25">
      <c r="B52" s="69" t="s">
        <v>563</v>
      </c>
      <c r="C52" s="70">
        <f>E47</f>
        <v>0</v>
      </c>
    </row>
    <row r="53" spans="2:3" x14ac:dyDescent="0.25">
      <c r="B53" s="149" t="s">
        <v>8</v>
      </c>
      <c r="C53" s="159">
        <f>SUM(C50:C52)</f>
        <v>182.14564244444443</v>
      </c>
    </row>
  </sheetData>
  <sheetProtection sheet="1" objects="1" scenarios="1"/>
  <dataConsolidate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[1]Drugs_list!#REF!</xm:f>
          </x14:formula1>
          <xm:sqref>B13:B15</xm:sqref>
        </x14:dataValidation>
        <x14:dataValidation type="list" allowBlank="1" showInputMessage="1" showErrorMessage="1">
          <x14:formula1>
            <xm:f>[1]Supplies_list!#REF!</xm:f>
          </x14:formula1>
          <xm:sqref>B21:B30</xm:sqref>
        </x14:dataValidation>
        <x14:dataValidation type="list" allowBlank="1" showInputMessage="1" showErrorMessage="1">
          <x14:formula1>
            <xm:f>[1]Lab_tests!#REF!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B8:B12</xm:sqref>
        </x14:dataValidation>
        <x14:dataValidation type="list" allowBlank="1" showInputMessage="1" showErrorMessage="1">
          <x14:formula1>
            <xm:f>Drugs_list!$C$9:$C$176</xm:f>
          </x14:formula1>
          <xm:sqref>B6:B7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Title</vt:lpstr>
      <vt:lpstr>BHU_Cost</vt:lpstr>
      <vt:lpstr>Summary_Intervention</vt:lpstr>
      <vt:lpstr>Pricing_2</vt:lpstr>
      <vt:lpstr>Sheet2</vt:lpstr>
      <vt:lpstr>Operating_Exp</vt:lpstr>
      <vt:lpstr>1.ANC</vt:lpstr>
      <vt:lpstr>Delivery_Assisted</vt:lpstr>
      <vt:lpstr>2.Delivery</vt:lpstr>
      <vt:lpstr>3.Post_partum</vt:lpstr>
      <vt:lpstr>4.Newborn_care</vt:lpstr>
      <vt:lpstr>8.Child_diarh_nodehy</vt:lpstr>
      <vt:lpstr>11.Child_Fever</vt:lpstr>
      <vt:lpstr>12.FP_condoms</vt:lpstr>
      <vt:lpstr>13.FP_Oral</vt:lpstr>
      <vt:lpstr>14.FP_Inject</vt:lpstr>
      <vt:lpstr>15.FP_IUD</vt:lpstr>
      <vt:lpstr>HR_Intervention</vt:lpstr>
      <vt:lpstr>Standard_temp</vt:lpstr>
      <vt:lpstr>HR_time</vt:lpstr>
      <vt:lpstr>Salary_cost_intervention</vt:lpstr>
      <vt:lpstr>Drugs_list</vt:lpstr>
      <vt:lpstr>Supplies_list</vt:lpstr>
      <vt:lpstr>Lab_tests</vt:lpstr>
      <vt:lpstr>Staff_cost</vt:lpstr>
      <vt:lpstr>Pay_scale</vt:lpstr>
      <vt:lpstr>Basic_demo</vt:lpstr>
      <vt:lpstr>Equipment</vt:lpstr>
      <vt:lpstr>a15pop</vt:lpstr>
      <vt:lpstr>aa</vt:lpstr>
      <vt:lpstr>ab</vt:lpstr>
      <vt:lpstr>above15_pop</vt:lpstr>
      <vt:lpstr>above5_pop</vt:lpstr>
      <vt:lpstr>apop</vt:lpstr>
      <vt:lpstr>child23_pop</vt:lpstr>
      <vt:lpstr>eco_scale</vt:lpstr>
      <vt:lpstr>epreg</vt:lpstr>
      <vt:lpstr>ex_usd</vt:lpstr>
      <vt:lpstr>fpop</vt:lpstr>
      <vt:lpstr>gpop</vt:lpstr>
      <vt:lpstr>Basic_demo!HFN</vt:lpstr>
      <vt:lpstr>indirect_sal</vt:lpstr>
      <vt:lpstr>lb_pop</vt:lpstr>
      <vt:lpstr>mpop</vt:lpstr>
      <vt:lpstr>Basic_demo!mwra</vt:lpstr>
      <vt:lpstr>mwra_pop</vt:lpstr>
      <vt:lpstr>perc_increase</vt:lpstr>
      <vt:lpstr>preg_pop</vt:lpstr>
      <vt:lpstr>'1.ANC'!Print_Area</vt:lpstr>
      <vt:lpstr>'3.Post_partum'!Print_Area</vt:lpstr>
      <vt:lpstr>u5_pop</vt:lpstr>
      <vt:lpstr>upop</vt:lpstr>
      <vt:lpstr>Basic_demo!ur</vt:lpstr>
      <vt:lpstr>wra</vt:lpstr>
    </vt:vector>
  </TitlesOfParts>
  <Manager>Afeef Mahmood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Costing of Essential Services Package KPK</dc:title>
  <dc:creator>Afeef Mahmood</dc:creator>
  <cp:lastModifiedBy>Afeef Mahmood</cp:lastModifiedBy>
  <cp:lastPrinted>2012-12-25T09:37:06Z</cp:lastPrinted>
  <dcterms:created xsi:type="dcterms:W3CDTF">2012-07-16T11:44:08Z</dcterms:created>
  <dcterms:modified xsi:type="dcterms:W3CDTF">2014-01-22T20:30:47Z</dcterms:modified>
</cp:coreProperties>
</file>